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非车险保单" sheetId="1" r:id="rId1"/>
    <sheet name="Sheet1" sheetId="2" r:id="rId2"/>
  </sheets>
  <definedNames>
    <definedName name="_xlnm._FilterDatabase" localSheetId="0" hidden="1">非车险保单!$L$1:$L$2000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业务员证件号:
业务员重名时必填</t>
        </r>
        <r>
          <rPr>
            <sz val="9"/>
            <rFont val="宋体"/>
            <charset val="134"/>
          </rPr>
          <t xml:space="preserve">
</t>
        </r>
      </text>
    </comment>
    <comment ref="C1" authorId="1">
      <text>
        <r>
          <rPr>
            <sz val="9"/>
            <rFont val="宋体"/>
            <charset val="134"/>
          </rPr>
          <t>账户名：
指定业务员下挂的银行卡账户名，
如不指定则结算时自动选择默认卡</t>
        </r>
      </text>
    </comment>
    <comment ref="J1" authorId="1">
      <text>
        <r>
          <rPr>
            <b/>
            <sz val="9"/>
            <rFont val="宋体"/>
            <charset val="134"/>
          </rPr>
          <t>险种:</t>
        </r>
        <r>
          <rPr>
            <sz val="9"/>
            <rFont val="宋体"/>
            <charset val="134"/>
          </rPr>
          <t xml:space="preserve">
船舶险
财产险
财产基本险
家财险
财产一切险
财产综合险
雇主责任险
个人寿险
健康险
交强险
卡单类
其他险
非保险产品
货物运输险
商业车险
建工险
团体意外险
意外险
责任险</t>
        </r>
      </text>
    </comment>
    <comment ref="S1" authorId="1">
      <text>
        <r>
          <rPr>
            <b/>
            <sz val="9"/>
            <rFont val="宋体"/>
            <charset val="134"/>
          </rPr>
          <t>缴费方式：</t>
        </r>
        <r>
          <rPr>
            <sz val="9"/>
            <rFont val="宋体"/>
            <charset val="134"/>
          </rPr>
          <t xml:space="preserve">
现金
客户自刷
汇款3602
汇款至保险公司
汇款2716
业务员代刷
飞鸿0357
支票
现金
在线支付(代收)
对公转账
POS自刷
在线支付
公司垫付
</t>
        </r>
      </text>
    </comment>
    <comment ref="T1" authorId="1">
      <text>
        <r>
          <rPr>
            <b/>
            <sz val="9"/>
            <rFont val="宋体"/>
            <charset val="134"/>
          </rPr>
          <t xml:space="preserve">刷卡方式：
</t>
        </r>
        <r>
          <rPr>
            <sz val="9"/>
            <rFont val="宋体"/>
            <charset val="134"/>
          </rPr>
          <t>建行1254
工行5865
农行2716
客户自刷
汇款至保险公司
建行5578
建行602
业务员代刷
支票
现金
对公转账
刷卡
支付宝
支票
人工交费
微信
POS刷卡
在线支付
后付费</t>
        </r>
      </text>
    </comment>
    <comment ref="U1" authorId="1">
      <text>
        <r>
          <rPr>
            <b/>
            <sz val="9"/>
            <rFont val="宋体"/>
            <charset val="134"/>
          </rPr>
          <t>佣金支付方式：</t>
        </r>
        <r>
          <rPr>
            <sz val="9"/>
            <rFont val="宋体"/>
            <charset val="134"/>
          </rPr>
          <t xml:space="preserve">
打卡-交行
打卡-江苏银行
转账
代支付
第三方支付
积分兑换
银行转账
现金</t>
        </r>
      </text>
    </comment>
  </commentList>
</comments>
</file>

<file path=xl/sharedStrings.xml><?xml version="1.0" encoding="utf-8"?>
<sst xmlns="http://schemas.openxmlformats.org/spreadsheetml/2006/main" count="28035" uniqueCount="5905">
  <si>
    <t>业务员</t>
  </si>
  <si>
    <t>业务员证件号</t>
  </si>
  <si>
    <t>账户名</t>
  </si>
  <si>
    <t>保险公司</t>
  </si>
  <si>
    <t>渠道品牌</t>
  </si>
  <si>
    <t>渠道</t>
  </si>
  <si>
    <t>签单日期</t>
  </si>
  <si>
    <t>单证号</t>
  </si>
  <si>
    <t>关联单证号</t>
  </si>
  <si>
    <t>险种</t>
  </si>
  <si>
    <t>产品</t>
  </si>
  <si>
    <t>投保人</t>
  </si>
  <si>
    <t>投保人证件号</t>
  </si>
  <si>
    <t>被保险人</t>
  </si>
  <si>
    <t>被保人证件号</t>
  </si>
  <si>
    <t>手机号</t>
  </si>
  <si>
    <t>起保日期</t>
  </si>
  <si>
    <t>终保日期</t>
  </si>
  <si>
    <t>缴费方式</t>
  </si>
  <si>
    <t>刷卡方式</t>
  </si>
  <si>
    <t>佣金支付方式</t>
  </si>
  <si>
    <t>保费</t>
  </si>
  <si>
    <t>结费比例(%)</t>
  </si>
  <si>
    <t>结费比例是否含税</t>
  </si>
  <si>
    <t>结费金额</t>
  </si>
  <si>
    <t>附加费比例(%)</t>
  </si>
  <si>
    <t>附加费比例是否含税</t>
  </si>
  <si>
    <t>附加费</t>
  </si>
  <si>
    <t>手续费比例(%)</t>
  </si>
  <si>
    <t>手续费比例是否含税</t>
  </si>
  <si>
    <t>手续费金额</t>
  </si>
  <si>
    <t>保额</t>
  </si>
  <si>
    <t>权益名称</t>
  </si>
  <si>
    <t>权益价值</t>
  </si>
  <si>
    <t>兑换人手机号</t>
  </si>
  <si>
    <t>兑换人姓名</t>
  </si>
  <si>
    <t>兑换人身份证号</t>
  </si>
  <si>
    <t>兑换人银行卡号</t>
  </si>
  <si>
    <t>兑换人开户行</t>
  </si>
  <si>
    <t>互联网标识</t>
  </si>
  <si>
    <t>涉农标识</t>
  </si>
  <si>
    <t>标的类型</t>
  </si>
  <si>
    <t>渠道推广类型</t>
  </si>
  <si>
    <t>渠道推广费用</t>
  </si>
  <si>
    <t>是否一单一议</t>
  </si>
  <si>
    <t>开票凭证号</t>
  </si>
  <si>
    <t>付款凭证号</t>
  </si>
  <si>
    <t>备注</t>
  </si>
  <si>
    <t>易宇青</t>
  </si>
  <si>
    <t>天安财险荆州中心支</t>
  </si>
  <si>
    <t>6313730032206230009543</t>
  </si>
  <si>
    <t>家财险</t>
  </si>
  <si>
    <t>张圣保</t>
  </si>
  <si>
    <t>18305367858</t>
  </si>
  <si>
    <t>是</t>
  </si>
  <si>
    <t>否</t>
  </si>
  <si>
    <t>人</t>
  </si>
  <si>
    <t>2023.06.30天安荆州</t>
  </si>
  <si>
    <t>6313730032206230009514</t>
  </si>
  <si>
    <t>桂莎</t>
  </si>
  <si>
    <t>15030636545</t>
  </si>
  <si>
    <t>6313730032206230009516</t>
  </si>
  <si>
    <t>柳蓉</t>
  </si>
  <si>
    <t>18612261223</t>
  </si>
  <si>
    <t>6313730032206230008850</t>
  </si>
  <si>
    <t>李年青</t>
  </si>
  <si>
    <t>13905580660</t>
  </si>
  <si>
    <t>6313730032206230008804</t>
  </si>
  <si>
    <t>徐帆</t>
  </si>
  <si>
    <t>13966551517</t>
  </si>
  <si>
    <t>6313730032206230008736</t>
  </si>
  <si>
    <t>陈红霞</t>
  </si>
  <si>
    <t>15511846555</t>
  </si>
  <si>
    <t>6313730032206230008737</t>
  </si>
  <si>
    <t>杨小兵</t>
  </si>
  <si>
    <t>18256816554</t>
  </si>
  <si>
    <t>6313730032206230008738</t>
  </si>
  <si>
    <t>龙涛涛</t>
  </si>
  <si>
    <t>18010963800</t>
  </si>
  <si>
    <t>6313730032206230008888</t>
  </si>
  <si>
    <t>周秋英</t>
  </si>
  <si>
    <t>13866224872</t>
  </si>
  <si>
    <t>6313730032206230007786</t>
  </si>
  <si>
    <t>黄少华</t>
  </si>
  <si>
    <t>19359083782</t>
  </si>
  <si>
    <t>6313730032206230008170</t>
  </si>
  <si>
    <t>任述波</t>
  </si>
  <si>
    <t>6313730032206230007825</t>
  </si>
  <si>
    <t>周年娇</t>
  </si>
  <si>
    <t>13505663518</t>
  </si>
  <si>
    <t>6313730032206230009485</t>
  </si>
  <si>
    <t>吴著海</t>
  </si>
  <si>
    <t>15055539568</t>
  </si>
  <si>
    <t>6313730032206230009433</t>
  </si>
  <si>
    <t>邹立新</t>
  </si>
  <si>
    <t>13965560826</t>
  </si>
  <si>
    <t>6313730032206230007929</t>
  </si>
  <si>
    <t>王洪露</t>
  </si>
  <si>
    <t>13093386639</t>
  </si>
  <si>
    <t>6313730032206230007924</t>
  </si>
  <si>
    <t>李静</t>
  </si>
  <si>
    <t>18755812457</t>
  </si>
  <si>
    <t>6313730032206230007774</t>
  </si>
  <si>
    <t>于冲冲</t>
  </si>
  <si>
    <t>15117916286</t>
  </si>
  <si>
    <t>6313730032206230007831</t>
  </si>
  <si>
    <t>周莉</t>
  </si>
  <si>
    <t>15856805189</t>
  </si>
  <si>
    <t>6313730032206230009225</t>
  </si>
  <si>
    <t>黄蓉</t>
  </si>
  <si>
    <t>15856892065</t>
  </si>
  <si>
    <t>6313730032206230009112</t>
  </si>
  <si>
    <t>曾圆</t>
  </si>
  <si>
    <t>15055521119</t>
  </si>
  <si>
    <t>6313730032206230009480</t>
  </si>
  <si>
    <t>曾莉芳</t>
  </si>
  <si>
    <t>18298120367</t>
  </si>
  <si>
    <t>6313730032206230008542</t>
  </si>
  <si>
    <t>廖鲲</t>
  </si>
  <si>
    <t>15932602089</t>
  </si>
  <si>
    <t>6313730032206230008607</t>
  </si>
  <si>
    <t>张书龙</t>
  </si>
  <si>
    <t>13866275476</t>
  </si>
  <si>
    <t>6313730032206230007665</t>
  </si>
  <si>
    <t>刘佳</t>
  </si>
  <si>
    <t>18226267729</t>
  </si>
  <si>
    <t>6313730032206230007638</t>
  </si>
  <si>
    <t>陈晓辉</t>
  </si>
  <si>
    <t>15856841376</t>
  </si>
  <si>
    <t>6313730032206230007630</t>
  </si>
  <si>
    <t>雷磊</t>
  </si>
  <si>
    <t>18010963333</t>
  </si>
  <si>
    <t>6313730032206230007635</t>
  </si>
  <si>
    <t>阳俊</t>
  </si>
  <si>
    <t>13700268275</t>
  </si>
  <si>
    <t>6313730032206230007527</t>
  </si>
  <si>
    <t>姜红霖</t>
  </si>
  <si>
    <t>17767148714</t>
  </si>
  <si>
    <t>6313730032206230007475</t>
  </si>
  <si>
    <t>李利芳</t>
  </si>
  <si>
    <t>15156667088</t>
  </si>
  <si>
    <t>6313730032206230008975</t>
  </si>
  <si>
    <t>何志超</t>
  </si>
  <si>
    <t>6313730032206230008982</t>
  </si>
  <si>
    <t>陈春丽</t>
  </si>
  <si>
    <t>15100325356</t>
  </si>
  <si>
    <t>6313730032206230009123</t>
  </si>
  <si>
    <t>姚姣娥</t>
  </si>
  <si>
    <t>13470767223</t>
  </si>
  <si>
    <t>6313730032206230009030</t>
  </si>
  <si>
    <t>宋陈江</t>
  </si>
  <si>
    <t>18801112863</t>
  </si>
  <si>
    <t>6313730032206230009510</t>
  </si>
  <si>
    <t>夏艳丽</t>
  </si>
  <si>
    <t>15713360617</t>
  </si>
  <si>
    <t>6313730032206230009512</t>
  </si>
  <si>
    <t>马娇</t>
  </si>
  <si>
    <t>15075606072</t>
  </si>
  <si>
    <t>6313730032206230009520</t>
  </si>
  <si>
    <t>董池成</t>
  </si>
  <si>
    <t>19930608010</t>
  </si>
  <si>
    <t>6313730032206230009432</t>
  </si>
  <si>
    <t>江诗中</t>
  </si>
  <si>
    <t>18911998127</t>
  </si>
  <si>
    <t>6313730032206230008552</t>
  </si>
  <si>
    <t>熊劲松</t>
  </si>
  <si>
    <t>13833637707</t>
  </si>
  <si>
    <t>6313730032206230008627</t>
  </si>
  <si>
    <t>崔元清</t>
  </si>
  <si>
    <t>18310811206</t>
  </si>
  <si>
    <t>6313730032206230008486</t>
  </si>
  <si>
    <t>熊朋飞</t>
  </si>
  <si>
    <t>18256883699</t>
  </si>
  <si>
    <t>6313730032206230007717</t>
  </si>
  <si>
    <t>胡玮</t>
  </si>
  <si>
    <t>13700263309</t>
  </si>
  <si>
    <t>6313730032206230007623</t>
  </si>
  <si>
    <t>李彬彬</t>
  </si>
  <si>
    <t>13695581200</t>
  </si>
  <si>
    <t>6313730032206230007616</t>
  </si>
  <si>
    <t>李梦蝶</t>
  </si>
  <si>
    <t>13965569352</t>
  </si>
  <si>
    <t>6313730032206230007763</t>
  </si>
  <si>
    <t>李诗芹</t>
  </si>
  <si>
    <t>15855839967</t>
  </si>
  <si>
    <t>6313730032206230008265</t>
  </si>
  <si>
    <t>刘艳艳</t>
  </si>
  <si>
    <t>15373296307</t>
  </si>
  <si>
    <t>6313730032206230008789</t>
  </si>
  <si>
    <t>刘芳</t>
  </si>
  <si>
    <t>13635685769</t>
  </si>
  <si>
    <t>6313730032206230008885</t>
  </si>
  <si>
    <t>涂凌</t>
  </si>
  <si>
    <t>15055889885</t>
  </si>
  <si>
    <t>6313730032206230009440</t>
  </si>
  <si>
    <t>姚仁勇</t>
  </si>
  <si>
    <t>13170082569</t>
  </si>
  <si>
    <t>6313730032206230009348</t>
  </si>
  <si>
    <t>高丛中</t>
  </si>
  <si>
    <t>13373366026</t>
  </si>
  <si>
    <t>6313730032206230009374</t>
  </si>
  <si>
    <t>张涛</t>
  </si>
  <si>
    <t>18110586858</t>
  </si>
  <si>
    <t>6313730032206230009421</t>
  </si>
  <si>
    <t>刘晓俊</t>
  </si>
  <si>
    <t>15056947525</t>
  </si>
  <si>
    <t>6313730032206230009446</t>
  </si>
  <si>
    <t>史莹莹</t>
  </si>
  <si>
    <t>15955854052</t>
  </si>
  <si>
    <t>6313730032206230008639</t>
  </si>
  <si>
    <t>孙西兰</t>
  </si>
  <si>
    <t>18731629415</t>
  </si>
  <si>
    <t>6313730032206230008624</t>
  </si>
  <si>
    <t>谢晋</t>
  </si>
  <si>
    <t>18609698777</t>
  </si>
  <si>
    <t>6313730032206230008601</t>
  </si>
  <si>
    <t>宋嘉琪</t>
  </si>
  <si>
    <t>18803168166</t>
  </si>
  <si>
    <t>6313730032206230007656</t>
  </si>
  <si>
    <t>胡安庆</t>
  </si>
  <si>
    <t>15931462903</t>
  </si>
  <si>
    <t>6313730032206230007612</t>
  </si>
  <si>
    <t>崔婷</t>
  </si>
  <si>
    <t>18031203885</t>
  </si>
  <si>
    <t>6313730032206230007653</t>
  </si>
  <si>
    <t>吴立姣</t>
  </si>
  <si>
    <t>15350690545</t>
  </si>
  <si>
    <t>6313730032206230007819</t>
  </si>
  <si>
    <t>张胜</t>
  </si>
  <si>
    <t>15133662352</t>
  </si>
  <si>
    <t>6313730032206230007864</t>
  </si>
  <si>
    <t>柳丽兵</t>
  </si>
  <si>
    <t>13910856688</t>
  </si>
  <si>
    <t>6313730032206230007872</t>
  </si>
  <si>
    <t>尹彬</t>
  </si>
  <si>
    <t>15350682610</t>
  </si>
  <si>
    <t>6313730032206230009349</t>
  </si>
  <si>
    <t>赵昭华</t>
  </si>
  <si>
    <t>13810068603</t>
  </si>
  <si>
    <t>6313730032206230009284</t>
  </si>
  <si>
    <t>何建平</t>
  </si>
  <si>
    <t>18632602432</t>
  </si>
  <si>
    <t>6313730032206230009278</t>
  </si>
  <si>
    <t>梁晓桐</t>
  </si>
  <si>
    <t>13930686026</t>
  </si>
  <si>
    <t>6313730032206230008805</t>
  </si>
  <si>
    <t>杨艳</t>
  </si>
  <si>
    <t>15305588134</t>
  </si>
  <si>
    <t>6313730032206230008555</t>
  </si>
  <si>
    <t>何琳</t>
  </si>
  <si>
    <t>13956806816</t>
  </si>
  <si>
    <t>6313730032206230008611</t>
  </si>
  <si>
    <t>周开林</t>
  </si>
  <si>
    <t>15531623525</t>
  </si>
  <si>
    <t>6313730032206230008670</t>
  </si>
  <si>
    <t>向兴荣</t>
  </si>
  <si>
    <t>13754462803</t>
  </si>
  <si>
    <t>6313730032206230008505</t>
  </si>
  <si>
    <t>吴克金</t>
  </si>
  <si>
    <t>18255818502</t>
  </si>
  <si>
    <t>6313730032206230009196</t>
  </si>
  <si>
    <t>李世华</t>
  </si>
  <si>
    <t>15076656541</t>
  </si>
  <si>
    <t>6313730032206230008528</t>
  </si>
  <si>
    <t>徐田田</t>
  </si>
  <si>
    <t>13681444677</t>
  </si>
  <si>
    <t>6313730032206230007521</t>
  </si>
  <si>
    <t>余振平</t>
  </si>
  <si>
    <t>15801112266</t>
  </si>
  <si>
    <t>6313730032206230007584</t>
  </si>
  <si>
    <t>张屹</t>
  </si>
  <si>
    <t>18311332787</t>
  </si>
  <si>
    <t>6313730032206230007533</t>
  </si>
  <si>
    <t>王以全</t>
  </si>
  <si>
    <t>18630665529</t>
  </si>
  <si>
    <t>6313730032206230008853</t>
  </si>
  <si>
    <t>李海</t>
  </si>
  <si>
    <t>18500516202</t>
  </si>
  <si>
    <t>6313730032206230008886</t>
  </si>
  <si>
    <t>周琼艳</t>
  </si>
  <si>
    <t>15233672423</t>
  </si>
  <si>
    <t>6313730032206230008392</t>
  </si>
  <si>
    <t>陈军</t>
  </si>
  <si>
    <t>13292662327</t>
  </si>
  <si>
    <t>6313730032206230008337</t>
  </si>
  <si>
    <t>李维芸</t>
  </si>
  <si>
    <t>13785654531</t>
  </si>
  <si>
    <t>6313730032206230009087</t>
  </si>
  <si>
    <t>江芳</t>
  </si>
  <si>
    <t>13855889426</t>
  </si>
  <si>
    <t>6313730032206230009219</t>
  </si>
  <si>
    <t>瞿生才</t>
  </si>
  <si>
    <t>19919883503</t>
  </si>
  <si>
    <t>6313730032206230009114</t>
  </si>
  <si>
    <t>张杰</t>
  </si>
  <si>
    <t>18298110777</t>
  </si>
  <si>
    <t>6313730032206230009165</t>
  </si>
  <si>
    <t>刘郑</t>
  </si>
  <si>
    <t>15032467186</t>
  </si>
  <si>
    <t>6313730032206230009167</t>
  </si>
  <si>
    <t>王华</t>
  </si>
  <si>
    <t>15855518629</t>
  </si>
  <si>
    <t>6313730032206230009267</t>
  </si>
  <si>
    <t>黄智俊</t>
  </si>
  <si>
    <t>13485684246</t>
  </si>
  <si>
    <t>6313730032206230009211</t>
  </si>
  <si>
    <t>张敏</t>
  </si>
  <si>
    <t>18001292320</t>
  </si>
  <si>
    <t>6313730032206230008603</t>
  </si>
  <si>
    <t>张满</t>
  </si>
  <si>
    <t>13733330370</t>
  </si>
  <si>
    <t>6313730032206230008456</t>
  </si>
  <si>
    <t>刘琼</t>
  </si>
  <si>
    <t>18956745381</t>
  </si>
  <si>
    <t>6313730032206230008652</t>
  </si>
  <si>
    <t>胡启达</t>
  </si>
  <si>
    <t>13833675918</t>
  </si>
  <si>
    <t>6313730032206230007479</t>
  </si>
  <si>
    <t>崔艳燕</t>
  </si>
  <si>
    <t>15755826281</t>
  </si>
  <si>
    <t>6313730032206230007568</t>
  </si>
  <si>
    <t>胡媛媛</t>
  </si>
  <si>
    <t>13439759360</t>
  </si>
  <si>
    <t>6313730032206230007494</t>
  </si>
  <si>
    <t>方建军</t>
  </si>
  <si>
    <t>13866273381</t>
  </si>
  <si>
    <t>6313730032206230008209</t>
  </si>
  <si>
    <t>董爱民</t>
  </si>
  <si>
    <t>18730613456</t>
  </si>
  <si>
    <t>6313730032206230008240</t>
  </si>
  <si>
    <t>汪应红</t>
  </si>
  <si>
    <t>15547326666</t>
  </si>
  <si>
    <t>6313730032206230007726</t>
  </si>
  <si>
    <t>张红梅</t>
  </si>
  <si>
    <t>17777854181</t>
  </si>
  <si>
    <t>6313730032206230007524</t>
  </si>
  <si>
    <t>唐建</t>
  </si>
  <si>
    <t>13623165288</t>
  </si>
  <si>
    <t>6313730032206230008568</t>
  </si>
  <si>
    <t>李华容</t>
  </si>
  <si>
    <t>13722635007</t>
  </si>
  <si>
    <t>6313730032206230008327</t>
  </si>
  <si>
    <t>徐敏</t>
  </si>
  <si>
    <t>15705681247</t>
  </si>
  <si>
    <t>6313730032206230008220</t>
  </si>
  <si>
    <t>王子龙</t>
  </si>
  <si>
    <t>13820775265</t>
  </si>
  <si>
    <t>6313730032206230008198</t>
  </si>
  <si>
    <t>鄢柳艳</t>
  </si>
  <si>
    <t>15033162906</t>
  </si>
  <si>
    <t>6313730032206230008361</t>
  </si>
  <si>
    <t>张忠</t>
  </si>
  <si>
    <t>15632718666</t>
  </si>
  <si>
    <t>6313730032206230008273</t>
  </si>
  <si>
    <t>黄金斌</t>
  </si>
  <si>
    <t>13833667913</t>
  </si>
  <si>
    <t>6313730032206230008211</t>
  </si>
  <si>
    <t>罗文</t>
  </si>
  <si>
    <t>18612352313</t>
  </si>
  <si>
    <t>6313730032206230008279</t>
  </si>
  <si>
    <t>刘宇</t>
  </si>
  <si>
    <t>15613678869</t>
  </si>
  <si>
    <t>6313730032206230009096</t>
  </si>
  <si>
    <t>宋洪涛</t>
  </si>
  <si>
    <t>17733766369</t>
  </si>
  <si>
    <t>6313730032206230009139</t>
  </si>
  <si>
    <t>吴元晖</t>
  </si>
  <si>
    <t>13681519201</t>
  </si>
  <si>
    <t>6313730032206230009168</t>
  </si>
  <si>
    <t>叶红</t>
  </si>
  <si>
    <t>13603269132</t>
  </si>
  <si>
    <t>6313730032206230009240</t>
  </si>
  <si>
    <t>缪学凤</t>
  </si>
  <si>
    <t>13722637092</t>
  </si>
  <si>
    <t>6313730032206230009239</t>
  </si>
  <si>
    <t>付井霞</t>
  </si>
  <si>
    <t>15110042509</t>
  </si>
  <si>
    <t>6313730032206230009286</t>
  </si>
  <si>
    <t>刘红军</t>
  </si>
  <si>
    <t>15731631069</t>
  </si>
  <si>
    <t>6313730032206230009144</t>
  </si>
  <si>
    <t>鲁涛</t>
  </si>
  <si>
    <t>17501009937</t>
  </si>
  <si>
    <t>6313730032206230008685</t>
  </si>
  <si>
    <t>蔡涛涛</t>
  </si>
  <si>
    <t>18731753207</t>
  </si>
  <si>
    <t>6313730032206230008239</t>
  </si>
  <si>
    <t>李晓旭</t>
  </si>
  <si>
    <t>13552430981</t>
  </si>
  <si>
    <t>6313730032206230008200</t>
  </si>
  <si>
    <t>曾斌</t>
  </si>
  <si>
    <t>13932673356</t>
  </si>
  <si>
    <t>6313730032206230008317</t>
  </si>
  <si>
    <t>程磊</t>
  </si>
  <si>
    <t>15110246511</t>
  </si>
  <si>
    <t>6313730032206230007495</t>
  </si>
  <si>
    <t>聂军</t>
  </si>
  <si>
    <t>13292395922</t>
  </si>
  <si>
    <t>6313730032206230007544</t>
  </si>
  <si>
    <t>陈泽东</t>
  </si>
  <si>
    <t>15380680732</t>
  </si>
  <si>
    <t>6313730032206230007553</t>
  </si>
  <si>
    <t>方华</t>
  </si>
  <si>
    <t>13811921316</t>
  </si>
  <si>
    <t>6313730032206230007572</t>
  </si>
  <si>
    <t>李家珍</t>
  </si>
  <si>
    <t>13323265550</t>
  </si>
  <si>
    <t>6313730032206230007478</t>
  </si>
  <si>
    <t>周钱贵</t>
  </si>
  <si>
    <t>19943774933</t>
  </si>
  <si>
    <t>6313730032206230007452</t>
  </si>
  <si>
    <t>唐莫愁</t>
  </si>
  <si>
    <t>15933642602</t>
  </si>
  <si>
    <t>6313730032206230008363</t>
  </si>
  <si>
    <t>雷正全</t>
  </si>
  <si>
    <t>18110590672</t>
  </si>
  <si>
    <t>6313730032206230008304</t>
  </si>
  <si>
    <t>胡晓婷</t>
  </si>
  <si>
    <t>18956725266</t>
  </si>
  <si>
    <t>6313730032206230009295</t>
  </si>
  <si>
    <t>朱明</t>
  </si>
  <si>
    <t>13084029612</t>
  </si>
  <si>
    <t>6313730032206230009235</t>
  </si>
  <si>
    <t>王敏</t>
  </si>
  <si>
    <t>17682886668</t>
  </si>
  <si>
    <t>6313730032206230009212</t>
  </si>
  <si>
    <t>高毅</t>
  </si>
  <si>
    <t>18609699992</t>
  </si>
  <si>
    <t>6313730032206230008250</t>
  </si>
  <si>
    <t>王祥惠</t>
  </si>
  <si>
    <t>15551451189</t>
  </si>
  <si>
    <t>6313730032206230008230</t>
  </si>
  <si>
    <t>刘玲</t>
  </si>
  <si>
    <t>15215685068</t>
  </si>
  <si>
    <t>6313730032206230008274</t>
  </si>
  <si>
    <t>禹保国</t>
  </si>
  <si>
    <t>13653325953</t>
  </si>
  <si>
    <t>6313730032206230008269</t>
  </si>
  <si>
    <t>杨德祥</t>
  </si>
  <si>
    <t>15105683909</t>
  </si>
  <si>
    <t>6313730032206230007462</t>
  </si>
  <si>
    <t>徐志才</t>
  </si>
  <si>
    <t>19166105077</t>
  </si>
  <si>
    <t>6313730032206230007431</t>
  </si>
  <si>
    <t>夏昌美</t>
  </si>
  <si>
    <t>15311865875</t>
  </si>
  <si>
    <t>6313730032206230007443</t>
  </si>
  <si>
    <t>徐杰</t>
  </si>
  <si>
    <t>13956815034</t>
  </si>
  <si>
    <t>6313730032206230008434</t>
  </si>
  <si>
    <t>莫津津</t>
  </si>
  <si>
    <t>18855807679</t>
  </si>
  <si>
    <t>6313730032206230008065</t>
  </si>
  <si>
    <t>沈军华</t>
  </si>
  <si>
    <t>18955804321</t>
  </si>
  <si>
    <t>6313730032206230007965</t>
  </si>
  <si>
    <t>王祖凤</t>
  </si>
  <si>
    <t>18920821157</t>
  </si>
  <si>
    <t>6313730032206230008074</t>
  </si>
  <si>
    <t>孙蓉</t>
  </si>
  <si>
    <t>13784463450</t>
  </si>
  <si>
    <t>6313730032206230009324</t>
  </si>
  <si>
    <t>黄爱姣</t>
  </si>
  <si>
    <t>13955802277</t>
  </si>
  <si>
    <t>6313730032206230009090</t>
  </si>
  <si>
    <t>吕先芳</t>
  </si>
  <si>
    <t>18514266530</t>
  </si>
  <si>
    <t>6313730032206230008312</t>
  </si>
  <si>
    <t>王林波</t>
  </si>
  <si>
    <t>18712652763</t>
  </si>
  <si>
    <t>6313730032206230008223</t>
  </si>
  <si>
    <t>张甫军</t>
  </si>
  <si>
    <t>18155882658</t>
  </si>
  <si>
    <t>6313730032206230008278</t>
  </si>
  <si>
    <t>侯伟</t>
  </si>
  <si>
    <t>18232597120</t>
  </si>
  <si>
    <t>6313730032206230007463</t>
  </si>
  <si>
    <t>涂路民</t>
  </si>
  <si>
    <t>15856880118</t>
  </si>
  <si>
    <t>6313730032206230009556</t>
  </si>
  <si>
    <t>张光凤</t>
  </si>
  <si>
    <t>15755882819</t>
  </si>
  <si>
    <t>6313730032206230009465</t>
  </si>
  <si>
    <t>陈小威</t>
  </si>
  <si>
    <t>15715588899</t>
  </si>
  <si>
    <t>6313730032206230007967</t>
  </si>
  <si>
    <t>刘宏英</t>
  </si>
  <si>
    <t>15655887379</t>
  </si>
  <si>
    <t>6313730032206230008063</t>
  </si>
  <si>
    <t>余修修</t>
  </si>
  <si>
    <t>13635582510</t>
  </si>
  <si>
    <t>6313730032206230008089</t>
  </si>
  <si>
    <t>华军</t>
  </si>
  <si>
    <t>15695589763</t>
  </si>
  <si>
    <t>6313730032206230008173</t>
  </si>
  <si>
    <t>张爱华</t>
  </si>
  <si>
    <t>13483910261</t>
  </si>
  <si>
    <t>6313730032206230008056</t>
  </si>
  <si>
    <t>15551410000</t>
  </si>
  <si>
    <t>6313730032206230009134</t>
  </si>
  <si>
    <t>谭静</t>
  </si>
  <si>
    <t>13473258384</t>
  </si>
  <si>
    <t>6313730032206230009251</t>
  </si>
  <si>
    <t>陶谢晋</t>
  </si>
  <si>
    <t>13312080446</t>
  </si>
  <si>
    <t>6313730032206230009082</t>
  </si>
  <si>
    <t>张文东</t>
  </si>
  <si>
    <t>13470783357</t>
  </si>
  <si>
    <t>6313730032206230009035</t>
  </si>
  <si>
    <t>王爱华</t>
  </si>
  <si>
    <t>13722273887</t>
  </si>
  <si>
    <t>6313730032206230008193</t>
  </si>
  <si>
    <t>刘磊</t>
  </si>
  <si>
    <t>13965735130</t>
  </si>
  <si>
    <t>6313730032206230007989</t>
  </si>
  <si>
    <t>付小兰</t>
  </si>
  <si>
    <t>18367606111</t>
  </si>
  <si>
    <t>6313730032206230008071</t>
  </si>
  <si>
    <t>徐雯</t>
  </si>
  <si>
    <t>18256824325</t>
  </si>
  <si>
    <t>6313730032206230008154</t>
  </si>
  <si>
    <t>张运连</t>
  </si>
  <si>
    <t>13703164921</t>
  </si>
  <si>
    <t>6313730032206230009272</t>
  </si>
  <si>
    <t>万海桃</t>
  </si>
  <si>
    <t>18726538299</t>
  </si>
  <si>
    <t>6313730032206230009172</t>
  </si>
  <si>
    <t>殷海军</t>
  </si>
  <si>
    <t>13463620878</t>
  </si>
  <si>
    <t>6313730032206230008039</t>
  </si>
  <si>
    <t>谢微微</t>
  </si>
  <si>
    <t>15551373338</t>
  </si>
  <si>
    <t>6313730032206230008138</t>
  </si>
  <si>
    <t>孙洪强</t>
  </si>
  <si>
    <t>13832684211</t>
  </si>
  <si>
    <t>6313730032206230008163</t>
  </si>
  <si>
    <t>王青云</t>
  </si>
  <si>
    <t>18225896541</t>
  </si>
  <si>
    <t>6313730032206230008080</t>
  </si>
  <si>
    <t>李志宝</t>
  </si>
  <si>
    <t>17736533275</t>
  </si>
  <si>
    <t>6313730032206230008106</t>
  </si>
  <si>
    <t>张福山</t>
  </si>
  <si>
    <t>13303366609</t>
  </si>
  <si>
    <t>6313730032206230008110</t>
  </si>
  <si>
    <t>袁苹</t>
  </si>
  <si>
    <t>15030689376</t>
  </si>
  <si>
    <t>6313730032206230008007</t>
  </si>
  <si>
    <t>张琴</t>
  </si>
  <si>
    <t>13965739741</t>
  </si>
  <si>
    <t>6313730032206230009028</t>
  </si>
  <si>
    <t>万齐林</t>
  </si>
  <si>
    <t>17755871133</t>
  </si>
  <si>
    <t>6313730032206230008898</t>
  </si>
  <si>
    <t>胡巧玲</t>
  </si>
  <si>
    <t>15655855900</t>
  </si>
  <si>
    <t>6313730032206230009060</t>
  </si>
  <si>
    <t>张祖娥</t>
  </si>
  <si>
    <t>18326892059</t>
  </si>
  <si>
    <t>6313730032206230008129</t>
  </si>
  <si>
    <t>孙圣忠</t>
  </si>
  <si>
    <t>13695580850</t>
  </si>
  <si>
    <t>6313730032206230008050</t>
  </si>
  <si>
    <t>潘经华</t>
  </si>
  <si>
    <t>18226340586</t>
  </si>
  <si>
    <t>6313730032206230008126</t>
  </si>
  <si>
    <t>汪磊</t>
  </si>
  <si>
    <t>18712750617</t>
  </si>
  <si>
    <t>6313730032206230009329</t>
  </si>
  <si>
    <t>胡海燕</t>
  </si>
  <si>
    <t>17755885335</t>
  </si>
  <si>
    <t>6313730032206230009117</t>
  </si>
  <si>
    <t>胡洲伟</t>
  </si>
  <si>
    <t>13865846071</t>
  </si>
  <si>
    <t>6313730032206230009133</t>
  </si>
  <si>
    <t>杨界凡</t>
  </si>
  <si>
    <t>15256809665</t>
  </si>
  <si>
    <t>6313730032206230007844</t>
  </si>
  <si>
    <t>伍捷</t>
  </si>
  <si>
    <t>13855800331</t>
  </si>
  <si>
    <t>6313730032206230007854</t>
  </si>
  <si>
    <t>刘萍</t>
  </si>
  <si>
    <t>18326880917</t>
  </si>
  <si>
    <t>6313730032206230007775</t>
  </si>
  <si>
    <t>项磊</t>
  </si>
  <si>
    <t>15551639580</t>
  </si>
  <si>
    <t>6313730032206230007857</t>
  </si>
  <si>
    <t>徐慧</t>
  </si>
  <si>
    <t>13866266495</t>
  </si>
  <si>
    <t>6313730032206230008941</t>
  </si>
  <si>
    <t>沈乐飞</t>
  </si>
  <si>
    <t>13012875057</t>
  </si>
  <si>
    <t>6313730032206230008962</t>
  </si>
  <si>
    <t>朱昭昭</t>
  </si>
  <si>
    <t>19956831869</t>
  </si>
  <si>
    <t>6313730032206230008954</t>
  </si>
  <si>
    <t>朱荔丹</t>
  </si>
  <si>
    <t>13260600420</t>
  </si>
  <si>
    <t>6313730032206230008913</t>
  </si>
  <si>
    <t>15055571279</t>
  </si>
  <si>
    <t>6313730032206230007958</t>
  </si>
  <si>
    <t>伍启松</t>
  </si>
  <si>
    <t>15010667682</t>
  </si>
  <si>
    <t>6313730032206230008152</t>
  </si>
  <si>
    <t>张旺</t>
  </si>
  <si>
    <t>19857401079</t>
  </si>
  <si>
    <t>6313730032206230008991</t>
  </si>
  <si>
    <t>李神志</t>
  </si>
  <si>
    <t>13955849827</t>
  </si>
  <si>
    <t>6313730032206230008918</t>
  </si>
  <si>
    <t>卢静</t>
  </si>
  <si>
    <t>13515580738</t>
  </si>
  <si>
    <t>6313730032206230009064</t>
  </si>
  <si>
    <t>张启荣</t>
  </si>
  <si>
    <t>13866267979</t>
  </si>
  <si>
    <t>6313730032206230007881</t>
  </si>
  <si>
    <t>袁若寒</t>
  </si>
  <si>
    <t>18225587098</t>
  </si>
  <si>
    <t>6313730032206230007903</t>
  </si>
  <si>
    <t>黄媛媛</t>
  </si>
  <si>
    <t>18655876992</t>
  </si>
  <si>
    <t>6313730032206230007750</t>
  </si>
  <si>
    <t>汪圣权</t>
  </si>
  <si>
    <t>15238322216</t>
  </si>
  <si>
    <t>6313730032206230007729</t>
  </si>
  <si>
    <t>罗时梅</t>
  </si>
  <si>
    <t>13865584864</t>
  </si>
  <si>
    <t>6313730032206230009057</t>
  </si>
  <si>
    <t>姚超</t>
  </si>
  <si>
    <t>13643162412</t>
  </si>
  <si>
    <t>6313730032206230009036</t>
  </si>
  <si>
    <t>唐万星</t>
  </si>
  <si>
    <t>6313730032206230009022</t>
  </si>
  <si>
    <t>刘娟</t>
  </si>
  <si>
    <t>13930638967</t>
  </si>
  <si>
    <t>6313730032206230008908</t>
  </si>
  <si>
    <t>杨中青</t>
  </si>
  <si>
    <t>13225684314</t>
  </si>
  <si>
    <t>6313730032206230008909</t>
  </si>
  <si>
    <t>朱华平</t>
  </si>
  <si>
    <t>13231616196</t>
  </si>
  <si>
    <t>6313730032206230008187</t>
  </si>
  <si>
    <t>孙高峰</t>
  </si>
  <si>
    <t>15755820801</t>
  </si>
  <si>
    <t>6313730032206230008096</t>
  </si>
  <si>
    <t>罗海川</t>
  </si>
  <si>
    <t>13625581749</t>
  </si>
  <si>
    <t>6313730032206230008146</t>
  </si>
  <si>
    <t>尹素玫</t>
  </si>
  <si>
    <t>16655052558</t>
  </si>
  <si>
    <t>6313730032206230008169</t>
  </si>
  <si>
    <t>李振勇</t>
  </si>
  <si>
    <t>18325898860</t>
  </si>
  <si>
    <t>6313730032206230008696</t>
  </si>
  <si>
    <t>吴爱华</t>
  </si>
  <si>
    <t>15030661541</t>
  </si>
  <si>
    <t>6313730032206230008729</t>
  </si>
  <si>
    <t>周禾信</t>
  </si>
  <si>
    <t>18226228661</t>
  </si>
  <si>
    <t>6313730032206230008813</t>
  </si>
  <si>
    <t>朱正林</t>
  </si>
  <si>
    <t>13187556616</t>
  </si>
  <si>
    <t>6313730032206230007489</t>
  </si>
  <si>
    <t>黄雨冰</t>
  </si>
  <si>
    <t>15156669734</t>
  </si>
  <si>
    <t>6313730032206230007511</t>
  </si>
  <si>
    <t>向海鸥</t>
  </si>
  <si>
    <t>15249812243</t>
  </si>
  <si>
    <t>6313730032206230008735</t>
  </si>
  <si>
    <t>赵训高</t>
  </si>
  <si>
    <t>15551606229</t>
  </si>
  <si>
    <t>6313730032206230008679</t>
  </si>
  <si>
    <t>谭月娥</t>
  </si>
  <si>
    <t>13931621659</t>
  </si>
  <si>
    <t>6313730032206230008622</t>
  </si>
  <si>
    <t>吴根法</t>
  </si>
  <si>
    <t>15755876028</t>
  </si>
  <si>
    <t>6313730032206230008557</t>
  </si>
  <si>
    <t>陈宇</t>
  </si>
  <si>
    <t>15731617923</t>
  </si>
  <si>
    <t>6313730032206230008400</t>
  </si>
  <si>
    <t>鲁杨</t>
  </si>
  <si>
    <t>15655813726</t>
  </si>
  <si>
    <t>6313730032206230008386</t>
  </si>
  <si>
    <t>芦毅</t>
  </si>
  <si>
    <t>19389660791</t>
  </si>
  <si>
    <t>6313730032206230008251</t>
  </si>
  <si>
    <t>金咸梅</t>
  </si>
  <si>
    <t>13785666079</t>
  </si>
  <si>
    <t>6313730032206230009563</t>
  </si>
  <si>
    <t>周升</t>
  </si>
  <si>
    <t>13282107226</t>
  </si>
  <si>
    <t>6313730032206230009562</t>
  </si>
  <si>
    <t>李英</t>
  </si>
  <si>
    <t>13503249382</t>
  </si>
  <si>
    <t>6313730032206230008824</t>
  </si>
  <si>
    <t>李建文</t>
  </si>
  <si>
    <t>15810742718</t>
  </si>
  <si>
    <t>6313730032206230007866</t>
  </si>
  <si>
    <t>熊新华</t>
  </si>
  <si>
    <t>13780269451</t>
  </si>
  <si>
    <t>6313730032206230007937</t>
  </si>
  <si>
    <t>邓小海</t>
  </si>
  <si>
    <t>13966840709</t>
  </si>
  <si>
    <t>6313730032206230007948</t>
  </si>
  <si>
    <t>杨文芳</t>
  </si>
  <si>
    <t>19956898611</t>
  </si>
  <si>
    <t>6313730032206230007784</t>
  </si>
  <si>
    <t>张元</t>
  </si>
  <si>
    <t>13805586523</t>
  </si>
  <si>
    <t>6313730032206230007955</t>
  </si>
  <si>
    <t>王兴红</t>
  </si>
  <si>
    <t>18712641117</t>
  </si>
  <si>
    <t>6313730032206230008393</t>
  </si>
  <si>
    <t>喻帆</t>
  </si>
  <si>
    <t>15391735544</t>
  </si>
  <si>
    <t>6313730032206230008385</t>
  </si>
  <si>
    <t>刘亮</t>
  </si>
  <si>
    <t>13075050158</t>
  </si>
  <si>
    <t>6313730032206230008259</t>
  </si>
  <si>
    <t>金义正</t>
  </si>
  <si>
    <t>15905585488</t>
  </si>
  <si>
    <t>6313730032206230008139</t>
  </si>
  <si>
    <t>罗元霞</t>
  </si>
  <si>
    <t>13635588045</t>
  </si>
  <si>
    <t>6313730032206230009501</t>
  </si>
  <si>
    <t>刘晓静</t>
  </si>
  <si>
    <t>15988142669</t>
  </si>
  <si>
    <t>6313730032206230009496</t>
  </si>
  <si>
    <t>黄莺</t>
  </si>
  <si>
    <t>18505583521</t>
  </si>
  <si>
    <t>6313730032206230008778</t>
  </si>
  <si>
    <t>朱星星</t>
  </si>
  <si>
    <t>18201996641</t>
  </si>
  <si>
    <t>6313730032206230007849</t>
  </si>
  <si>
    <t>梅晓红</t>
  </si>
  <si>
    <t>18156866933</t>
  </si>
  <si>
    <t>6313730032206230007889</t>
  </si>
  <si>
    <t>涂小燕</t>
  </si>
  <si>
    <t>13014083795</t>
  </si>
  <si>
    <t>6313730032206230007818</t>
  </si>
  <si>
    <t>郑波</t>
  </si>
  <si>
    <t>15655899971</t>
  </si>
  <si>
    <t>6313730032206230007893</t>
  </si>
  <si>
    <t>曾所红</t>
  </si>
  <si>
    <t>13956688958</t>
  </si>
  <si>
    <t>6313730032206230007817</t>
  </si>
  <si>
    <t>郭志超</t>
  </si>
  <si>
    <t>18982219226</t>
  </si>
  <si>
    <t>6313730032206230007803</t>
  </si>
  <si>
    <t>张海英</t>
  </si>
  <si>
    <t>19956841980</t>
  </si>
  <si>
    <t>6313730032206230007916</t>
  </si>
  <si>
    <t>胡春飞</t>
  </si>
  <si>
    <t>15856922921</t>
  </si>
  <si>
    <t>6313730032206230009538</t>
  </si>
  <si>
    <t>高超</t>
  </si>
  <si>
    <t>13145588885</t>
  </si>
  <si>
    <t>6313730032206230009539</t>
  </si>
  <si>
    <t>姬忠辉</t>
  </si>
  <si>
    <t>13812763391</t>
  </si>
  <si>
    <t>6313730032206230009455</t>
  </si>
  <si>
    <t>江莉</t>
  </si>
  <si>
    <t>13956811638</t>
  </si>
  <si>
    <t>6313730032206230009352</t>
  </si>
  <si>
    <t>李才菊</t>
  </si>
  <si>
    <t>15256883627</t>
  </si>
  <si>
    <t>6313730032206230009373</t>
  </si>
  <si>
    <t>沈彩霞</t>
  </si>
  <si>
    <t>13515570771</t>
  </si>
  <si>
    <t>6313730032206230009370</t>
  </si>
  <si>
    <t>余斌</t>
  </si>
  <si>
    <t>13965588248</t>
  </si>
  <si>
    <t>6313730032206230009461</t>
  </si>
  <si>
    <t>陆毅</t>
  </si>
  <si>
    <t>15205688376</t>
  </si>
  <si>
    <t>6313730032206230009458</t>
  </si>
  <si>
    <t>熊海燕</t>
  </si>
  <si>
    <t>18712640665</t>
  </si>
  <si>
    <t>6313730032206230009454</t>
  </si>
  <si>
    <t>许玉珍</t>
  </si>
  <si>
    <t>18712642876</t>
  </si>
  <si>
    <t>6313730032206230008801</t>
  </si>
  <si>
    <t>冯发明</t>
  </si>
  <si>
    <t>17600275756</t>
  </si>
  <si>
    <t>6313730032206230008878</t>
  </si>
  <si>
    <t>周大春</t>
  </si>
  <si>
    <t>18130476588</t>
  </si>
  <si>
    <t>6313730032206230008876</t>
  </si>
  <si>
    <t>杨世兵</t>
  </si>
  <si>
    <t>13966556929</t>
  </si>
  <si>
    <t>6313730032206230008459</t>
  </si>
  <si>
    <t>郭先梅</t>
  </si>
  <si>
    <t>19155807946</t>
  </si>
  <si>
    <t>6313730032206230007906</t>
  </si>
  <si>
    <t>李模武</t>
  </si>
  <si>
    <t>13603360689</t>
  </si>
  <si>
    <t>6313730032206230007700</t>
  </si>
  <si>
    <t>匡三美</t>
  </si>
  <si>
    <t>18847749732</t>
  </si>
  <si>
    <t>6313730032206230007683</t>
  </si>
  <si>
    <t>马路锋</t>
  </si>
  <si>
    <t>15755173993</t>
  </si>
  <si>
    <t>6313730032206230007703</t>
  </si>
  <si>
    <t>习辉萍</t>
  </si>
  <si>
    <t>13625589471</t>
  </si>
  <si>
    <t>6313730032206230007908</t>
  </si>
  <si>
    <t>唐清平</t>
  </si>
  <si>
    <t>18755807787</t>
  </si>
  <si>
    <t>6313730032206230007813</t>
  </si>
  <si>
    <t>王雷</t>
  </si>
  <si>
    <t>15157815449</t>
  </si>
  <si>
    <t>6313730032206230007807</t>
  </si>
  <si>
    <t>江凯</t>
  </si>
  <si>
    <t>18020018915</t>
  </si>
  <si>
    <t>6313730032206230007747</t>
  </si>
  <si>
    <t>王波</t>
  </si>
  <si>
    <t>6313730032206230007712</t>
  </si>
  <si>
    <t>张冬梅</t>
  </si>
  <si>
    <t>16600010061</t>
  </si>
  <si>
    <t>6313730032206230007627</t>
  </si>
  <si>
    <t>周勇</t>
  </si>
  <si>
    <t>13171839036</t>
  </si>
  <si>
    <t>6313730032206230007677</t>
  </si>
  <si>
    <t>陈双</t>
  </si>
  <si>
    <t>13352087951</t>
  </si>
  <si>
    <t>6313730032206230009369</t>
  </si>
  <si>
    <t>田小弟</t>
  </si>
  <si>
    <t>13050964166</t>
  </si>
  <si>
    <t>6313730032206230009197</t>
  </si>
  <si>
    <t>许苗</t>
  </si>
  <si>
    <t>13865585398</t>
  </si>
  <si>
    <t>6313730032206230009173</t>
  </si>
  <si>
    <t>张江英</t>
  </si>
  <si>
    <t>15556379685</t>
  </si>
  <si>
    <t>6313730032206230009410</t>
  </si>
  <si>
    <t>孙子琳</t>
  </si>
  <si>
    <t>6313730032206230009439</t>
  </si>
  <si>
    <t>胡开坤</t>
  </si>
  <si>
    <t>17695771413</t>
  </si>
  <si>
    <t>6313730032206230009361</t>
  </si>
  <si>
    <t>任艳霞</t>
  </si>
  <si>
    <t>13483601331</t>
  </si>
  <si>
    <t>6313730032206230008684</t>
  </si>
  <si>
    <t>周德才</t>
  </si>
  <si>
    <t>13388039350</t>
  </si>
  <si>
    <t>6313730032206230008604</t>
  </si>
  <si>
    <t>乐本金</t>
  </si>
  <si>
    <t>13933205465</t>
  </si>
  <si>
    <t>6313730032206230008621</t>
  </si>
  <si>
    <t>刘子才</t>
  </si>
  <si>
    <t>13832685327</t>
  </si>
  <si>
    <t>6313730032206230008526</t>
  </si>
  <si>
    <t>陈爱民</t>
  </si>
  <si>
    <t>18713330068</t>
  </si>
  <si>
    <t>6313730032206230007667</t>
  </si>
  <si>
    <t>张金亚</t>
  </si>
  <si>
    <t>13439489716</t>
  </si>
  <si>
    <t>6313730032206230007645</t>
  </si>
  <si>
    <t>齐家惠</t>
  </si>
  <si>
    <t>15320107999</t>
  </si>
  <si>
    <t>6313730032206230007719</t>
  </si>
  <si>
    <t>肖当</t>
  </si>
  <si>
    <t>15097649518</t>
  </si>
  <si>
    <t>6313730032206230007725</t>
  </si>
  <si>
    <t>朱世芳</t>
  </si>
  <si>
    <t>13041056677</t>
  </si>
  <si>
    <t>6313730032206230009281</t>
  </si>
  <si>
    <t>高纯</t>
  </si>
  <si>
    <t>18611137627</t>
  </si>
  <si>
    <t>6313730032206230009319</t>
  </si>
  <si>
    <t>方智聪</t>
  </si>
  <si>
    <t>15851427164</t>
  </si>
  <si>
    <t>6313730032220230000034</t>
  </si>
  <si>
    <t>荆州市荆州高新技术产业开发区盟立红缨幼儿园</t>
  </si>
  <si>
    <t>18612713225</t>
  </si>
  <si>
    <t>6313730032206230008852</t>
  </si>
  <si>
    <t>钱振彪</t>
  </si>
  <si>
    <t>15001191496</t>
  </si>
  <si>
    <t>6313730032206230009092</t>
  </si>
  <si>
    <t>李惠</t>
  </si>
  <si>
    <t>15801380766</t>
  </si>
  <si>
    <t>6313730032206230009205</t>
  </si>
  <si>
    <t>张顺</t>
  </si>
  <si>
    <t>15831655731</t>
  </si>
  <si>
    <t>6313730032206230009041</t>
  </si>
  <si>
    <t>陈雅静</t>
  </si>
  <si>
    <t>17310832881</t>
  </si>
  <si>
    <t>6313730032206230009038</t>
  </si>
  <si>
    <t>许桂华</t>
  </si>
  <si>
    <t>15556580458</t>
  </si>
  <si>
    <t>6313730032206230009395</t>
  </si>
  <si>
    <t>曾玉洁</t>
  </si>
  <si>
    <t>18756845332</t>
  </si>
  <si>
    <t>6313730032206230009523</t>
  </si>
  <si>
    <t>王瑞杰</t>
  </si>
  <si>
    <t>15956844734</t>
  </si>
  <si>
    <t>6313730032206230009513</t>
  </si>
  <si>
    <t>何修洪</t>
  </si>
  <si>
    <t>18368020301</t>
  </si>
  <si>
    <t>6313730032206230009397</t>
  </si>
  <si>
    <t>邓红英</t>
  </si>
  <si>
    <t>18715587540</t>
  </si>
  <si>
    <t>6313730032206230009339</t>
  </si>
  <si>
    <t>杨军</t>
  </si>
  <si>
    <t>13832617644</t>
  </si>
  <si>
    <t>6313730032206230009431</t>
  </si>
  <si>
    <t>徐华梅</t>
  </si>
  <si>
    <t>15357683867</t>
  </si>
  <si>
    <t>6313730032206230009451</t>
  </si>
  <si>
    <t>鄢吕航</t>
  </si>
  <si>
    <t>13833443582</t>
  </si>
  <si>
    <t>6313730032206230008514</t>
  </si>
  <si>
    <t>秦芳</t>
  </si>
  <si>
    <t>13691413184</t>
  </si>
  <si>
    <t>6313730032206230008618</t>
  </si>
  <si>
    <t>周寒凌</t>
  </si>
  <si>
    <t>18831625315</t>
  </si>
  <si>
    <t>6313730032206230008632</t>
  </si>
  <si>
    <t>刘陵峰</t>
  </si>
  <si>
    <t>15856886655</t>
  </si>
  <si>
    <t>6313730032206230008509</t>
  </si>
  <si>
    <t>魏理廉</t>
  </si>
  <si>
    <t>18603165936</t>
  </si>
  <si>
    <t>6313730032206230008580</t>
  </si>
  <si>
    <t>陈爱华</t>
  </si>
  <si>
    <t>6313730032206230008610</t>
  </si>
  <si>
    <t>崔红红</t>
  </si>
  <si>
    <t>18612112072</t>
  </si>
  <si>
    <t>6313730032206230007721</t>
  </si>
  <si>
    <t>陈天乐</t>
  </si>
  <si>
    <t>18368058010</t>
  </si>
  <si>
    <t>6313730032206230007756</t>
  </si>
  <si>
    <t>胡忠发</t>
  </si>
  <si>
    <t>13931601765</t>
  </si>
  <si>
    <t>6313730032206230007624</t>
  </si>
  <si>
    <t>卢红</t>
  </si>
  <si>
    <t>13855898582</t>
  </si>
  <si>
    <t>6313730032206230007632</t>
  </si>
  <si>
    <t>刘成刚</t>
  </si>
  <si>
    <t>13505583518</t>
  </si>
  <si>
    <t>6313730032206230008756</t>
  </si>
  <si>
    <t>李家伟</t>
  </si>
  <si>
    <t>15831140128</t>
  </si>
  <si>
    <t>6313730032206230008839</t>
  </si>
  <si>
    <t>吴生英</t>
  </si>
  <si>
    <t>17600958331</t>
  </si>
  <si>
    <t>6313730032206230008769</t>
  </si>
  <si>
    <t>刘飒</t>
  </si>
  <si>
    <t>13965561118</t>
  </si>
  <si>
    <t>6313730032206230008746</t>
  </si>
  <si>
    <t>张维民</t>
  </si>
  <si>
    <t>15555950588</t>
  </si>
  <si>
    <t>6313730032206230009066</t>
  </si>
  <si>
    <t>黄利民</t>
  </si>
  <si>
    <t>13167541890</t>
  </si>
  <si>
    <t>6313730032206230008798</t>
  </si>
  <si>
    <t>林卫</t>
  </si>
  <si>
    <t>13930600990</t>
  </si>
  <si>
    <t>6313730032206230008890</t>
  </si>
  <si>
    <t>马向阳</t>
  </si>
  <si>
    <t>15932068202</t>
  </si>
  <si>
    <t>6313730032206230008826</t>
  </si>
  <si>
    <t>王华兵</t>
  </si>
  <si>
    <t>6313730032206230009462</t>
  </si>
  <si>
    <t>卢可豪</t>
  </si>
  <si>
    <t>18698943893</t>
  </si>
  <si>
    <t>6313730032206230009416</t>
  </si>
  <si>
    <t>孙莉</t>
  </si>
  <si>
    <t>15035903862</t>
  </si>
  <si>
    <t>6313730032206230008503</t>
  </si>
  <si>
    <t>邢昌虎</t>
  </si>
  <si>
    <t>13785462562</t>
  </si>
  <si>
    <t>6313730032206230008479</t>
  </si>
  <si>
    <t>秦家军</t>
  </si>
  <si>
    <t>18701527242</t>
  </si>
  <si>
    <t>6313730032206230008625</t>
  </si>
  <si>
    <t>黄爱东</t>
  </si>
  <si>
    <t>18833630000</t>
  </si>
  <si>
    <t>6313730032206230008507</t>
  </si>
  <si>
    <t>许茹</t>
  </si>
  <si>
    <t>15076688692</t>
  </si>
  <si>
    <t>6313730032206230008535</t>
  </si>
  <si>
    <t>余国华</t>
  </si>
  <si>
    <t>13515573935</t>
  </si>
  <si>
    <t>6313730032206230008599</t>
  </si>
  <si>
    <t>王旭</t>
  </si>
  <si>
    <t>13615588909</t>
  </si>
  <si>
    <t>6313730032206230007672</t>
  </si>
  <si>
    <t>丁玉华</t>
  </si>
  <si>
    <t>13681071248</t>
  </si>
  <si>
    <t>6313730032206230007728</t>
  </si>
  <si>
    <t>周顺滔</t>
  </si>
  <si>
    <t>13401194513</t>
  </si>
  <si>
    <t>6313730032206230007735</t>
  </si>
  <si>
    <t>刘静</t>
  </si>
  <si>
    <t>18033606033</t>
  </si>
  <si>
    <t>6313730032206230008342</t>
  </si>
  <si>
    <t>刘思春</t>
  </si>
  <si>
    <t>13582640668</t>
  </si>
  <si>
    <t>6313730032206230007871</t>
  </si>
  <si>
    <t>余尧</t>
  </si>
  <si>
    <t>13831662685</t>
  </si>
  <si>
    <t>6313730032206230009390</t>
  </si>
  <si>
    <t>潘爱玲</t>
  </si>
  <si>
    <t>15620693354</t>
  </si>
  <si>
    <t>6313730032206230009299</t>
  </si>
  <si>
    <t>李小梅</t>
  </si>
  <si>
    <t>19033061616</t>
  </si>
  <si>
    <t>6313730032206230008562</t>
  </si>
  <si>
    <t>王超</t>
  </si>
  <si>
    <t>18832630619</t>
  </si>
  <si>
    <t>6313730032206230008525</t>
  </si>
  <si>
    <t>陆涛</t>
  </si>
  <si>
    <t>13811251343</t>
  </si>
  <si>
    <t>6313730032206230008445</t>
  </si>
  <si>
    <t>王春香</t>
  </si>
  <si>
    <t>13831663759</t>
  </si>
  <si>
    <t>6313730032206230008534</t>
  </si>
  <si>
    <t>王旋</t>
  </si>
  <si>
    <t>13831659009</t>
  </si>
  <si>
    <t>6313730032206230009417</t>
  </si>
  <si>
    <t>陈凤霜</t>
  </si>
  <si>
    <t>18630672199</t>
  </si>
  <si>
    <t>6313730032206230009336</t>
  </si>
  <si>
    <t>陈艳霞</t>
  </si>
  <si>
    <t>18131646257</t>
  </si>
  <si>
    <t>6313730032206230009356</t>
  </si>
  <si>
    <t>曹陈平</t>
  </si>
  <si>
    <t>13901039427</t>
  </si>
  <si>
    <t>6313730032206230009270</t>
  </si>
  <si>
    <t>孙德红</t>
  </si>
  <si>
    <t>13785621568</t>
  </si>
  <si>
    <t>6313730032206230009120</t>
  </si>
  <si>
    <t>吴甫风</t>
  </si>
  <si>
    <t>13473656833</t>
  </si>
  <si>
    <t>6313730032206230009153</t>
  </si>
  <si>
    <t>刘杰</t>
  </si>
  <si>
    <t>15931603555</t>
  </si>
  <si>
    <t>6313730032206230009148</t>
  </si>
  <si>
    <t>张静</t>
  </si>
  <si>
    <t>13483622616</t>
  </si>
  <si>
    <t>6313730032206230008659</t>
  </si>
  <si>
    <t>15831693999</t>
  </si>
  <si>
    <t>6313730032206230008549</t>
  </si>
  <si>
    <t>邓远江</t>
  </si>
  <si>
    <t>13512822136</t>
  </si>
  <si>
    <t>6313730032206230008579</t>
  </si>
  <si>
    <t>雷旺</t>
  </si>
  <si>
    <t>13931677636</t>
  </si>
  <si>
    <t>6313730032206230008447</t>
  </si>
  <si>
    <t>王为利</t>
  </si>
  <si>
    <t>18811427268</t>
  </si>
  <si>
    <t>6313730032206230008467</t>
  </si>
  <si>
    <t>邹菊</t>
  </si>
  <si>
    <t>15933365111</t>
  </si>
  <si>
    <t>6313730032206230008660</t>
  </si>
  <si>
    <t>吕琼芬</t>
  </si>
  <si>
    <t>13691516510</t>
  </si>
  <si>
    <t>6313730032206230008644</t>
  </si>
  <si>
    <t>苏泽春</t>
  </si>
  <si>
    <t>15832455317</t>
  </si>
  <si>
    <t>6313730032206230008602</t>
  </si>
  <si>
    <t>曹先华</t>
  </si>
  <si>
    <t>18311037275</t>
  </si>
  <si>
    <t>6313730032206230007621</t>
  </si>
  <si>
    <t>李志</t>
  </si>
  <si>
    <t>13520631625</t>
  </si>
  <si>
    <t>6313730032206230008863</t>
  </si>
  <si>
    <t>叶春霞</t>
  </si>
  <si>
    <t>18730615886</t>
  </si>
  <si>
    <t>6313730032206230008765</t>
  </si>
  <si>
    <t>杨用莉</t>
  </si>
  <si>
    <t>13652128928</t>
  </si>
  <si>
    <t>6313730032206230008744</t>
  </si>
  <si>
    <t>释心智</t>
  </si>
  <si>
    <t>16630391546</t>
  </si>
  <si>
    <t>6313730032206230008441</t>
  </si>
  <si>
    <t>胡婉</t>
  </si>
  <si>
    <t>15075602024</t>
  </si>
  <si>
    <t>6313730032206230008451</t>
  </si>
  <si>
    <t>张普松</t>
  </si>
  <si>
    <t>18712609808</t>
  </si>
  <si>
    <t>6313730032206230008440</t>
  </si>
  <si>
    <t>许春华</t>
  </si>
  <si>
    <t>13393068331</t>
  </si>
  <si>
    <t>6313730032206230008233</t>
  </si>
  <si>
    <t>陈先华</t>
  </si>
  <si>
    <t>13956806300</t>
  </si>
  <si>
    <t>6313730032206230008359</t>
  </si>
  <si>
    <t>张永梅</t>
  </si>
  <si>
    <t>19805692308</t>
  </si>
  <si>
    <t>6313730032206230008326</t>
  </si>
  <si>
    <t>魏国红</t>
  </si>
  <si>
    <t>13145582733</t>
  </si>
  <si>
    <t>6313730032206230009122</t>
  </si>
  <si>
    <t>马学军</t>
  </si>
  <si>
    <t>13831621327</t>
  </si>
  <si>
    <t>6313730032206230009174</t>
  </si>
  <si>
    <t>陈梦霞</t>
  </si>
  <si>
    <t>15357621686</t>
  </si>
  <si>
    <t>6313730032206230008478</t>
  </si>
  <si>
    <t>许忠英</t>
  </si>
  <si>
    <t>18302268552</t>
  </si>
  <si>
    <t>6313730032206230008454</t>
  </si>
  <si>
    <t>沈定权</t>
  </si>
  <si>
    <t>18732756671</t>
  </si>
  <si>
    <t>6313730032206230008590</t>
  </si>
  <si>
    <t>周燕雯</t>
  </si>
  <si>
    <t>15132638835</t>
  </si>
  <si>
    <t>6313730032206230007559</t>
  </si>
  <si>
    <t>柳锦锦</t>
  </si>
  <si>
    <t>18531622786</t>
  </si>
  <si>
    <t>6313730032206230007550</t>
  </si>
  <si>
    <t>徐久胜</t>
  </si>
  <si>
    <t>18196697272</t>
  </si>
  <si>
    <t>6313730032206230007482</t>
  </si>
  <si>
    <t>韦杰</t>
  </si>
  <si>
    <t>17564268188</t>
  </si>
  <si>
    <t>6313730032206230007564</t>
  </si>
  <si>
    <t>艾倩倩</t>
  </si>
  <si>
    <t>13910553915</t>
  </si>
  <si>
    <t>6313730032206230007549</t>
  </si>
  <si>
    <t>王桂枝</t>
  </si>
  <si>
    <t>18813011802</t>
  </si>
  <si>
    <t>6313730032206230007691</t>
  </si>
  <si>
    <t>郭华</t>
  </si>
  <si>
    <t>15555833355</t>
  </si>
  <si>
    <t>6313730032206230007611</t>
  </si>
  <si>
    <t>陈少华</t>
  </si>
  <si>
    <t>13956804616</t>
  </si>
  <si>
    <t>6313730032206230007523</t>
  </si>
  <si>
    <t>王彩燕</t>
  </si>
  <si>
    <t>18130779611</t>
  </si>
  <si>
    <t>6313730032206230007599</t>
  </si>
  <si>
    <t>田波</t>
  </si>
  <si>
    <t>15366180330</t>
  </si>
  <si>
    <t>6313730032206230008421</t>
  </si>
  <si>
    <t>张伏莲</t>
  </si>
  <si>
    <t>18630422342</t>
  </si>
  <si>
    <t>6313730032206230008360</t>
  </si>
  <si>
    <t>方伟</t>
  </si>
  <si>
    <t>13931652817</t>
  </si>
  <si>
    <t>6313730032206230008272</t>
  </si>
  <si>
    <t>魏芬</t>
  </si>
  <si>
    <t>15652496677</t>
  </si>
  <si>
    <t>6313730032206230009149</t>
  </si>
  <si>
    <t>林国军</t>
  </si>
  <si>
    <t>15869498477</t>
  </si>
  <si>
    <t>6313730032206230009297</t>
  </si>
  <si>
    <t>伍翩翩</t>
  </si>
  <si>
    <t>18920469959</t>
  </si>
  <si>
    <t>6313730032206230009142</t>
  </si>
  <si>
    <t>项辉</t>
  </si>
  <si>
    <t>13966846019</t>
  </si>
  <si>
    <t>6313730032206230008572</t>
  </si>
  <si>
    <t>龚健杰</t>
  </si>
  <si>
    <t>18856718336</t>
  </si>
  <si>
    <t>6313730032206230008672</t>
  </si>
  <si>
    <t>毕林</t>
  </si>
  <si>
    <t>13855831609</t>
  </si>
  <si>
    <t>6313730032206230008329</t>
  </si>
  <si>
    <t>陈耀武</t>
  </si>
  <si>
    <t>18715588375</t>
  </si>
  <si>
    <t>6313730032206230008373</t>
  </si>
  <si>
    <t>朱荣海</t>
  </si>
  <si>
    <t>15956882001</t>
  </si>
  <si>
    <t>6313730032206230008374</t>
  </si>
  <si>
    <t>李成林</t>
  </si>
  <si>
    <t>18705589084</t>
  </si>
  <si>
    <t>6313730032206230008324</t>
  </si>
  <si>
    <t>陈丽梅</t>
  </si>
  <si>
    <t>15149028118</t>
  </si>
  <si>
    <t>6313730032206230007541</t>
  </si>
  <si>
    <t>李成钢</t>
  </si>
  <si>
    <t>13955442560</t>
  </si>
  <si>
    <t>6313730032206230007569</t>
  </si>
  <si>
    <t>刘祥龙</t>
  </si>
  <si>
    <t>18214871080</t>
  </si>
  <si>
    <t>6313730032206230007580</t>
  </si>
  <si>
    <t>周森云</t>
  </si>
  <si>
    <t>13846923195</t>
  </si>
  <si>
    <t>6313730032206230008635</t>
  </si>
  <si>
    <t>索林</t>
  </si>
  <si>
    <t>13866278782</t>
  </si>
  <si>
    <t>6313730032206230008388</t>
  </si>
  <si>
    <t>马骏</t>
  </si>
  <si>
    <t>13655657473</t>
  </si>
  <si>
    <t>6313730032206230009216</t>
  </si>
  <si>
    <t>何育德</t>
  </si>
  <si>
    <t>13752618006</t>
  </si>
  <si>
    <t>6313730032206230009171</t>
  </si>
  <si>
    <t>谢正午</t>
  </si>
  <si>
    <t>13693532224</t>
  </si>
  <si>
    <t>6313730032206230009254</t>
  </si>
  <si>
    <t>郑毅</t>
  </si>
  <si>
    <t>15932169801</t>
  </si>
  <si>
    <t>6313730032206230008313</t>
  </si>
  <si>
    <t>李先辉</t>
  </si>
  <si>
    <t>15631695989</t>
  </si>
  <si>
    <t>6313730032206230008268</t>
  </si>
  <si>
    <t>肖光泽</t>
  </si>
  <si>
    <t>18941880839</t>
  </si>
  <si>
    <t>6313730032206230007441</t>
  </si>
  <si>
    <t>刘高峰</t>
  </si>
  <si>
    <t>15726616615</t>
  </si>
  <si>
    <t>6313730032206230007444</t>
  </si>
  <si>
    <t>邓志谋</t>
  </si>
  <si>
    <t>15932605469</t>
  </si>
  <si>
    <t>6313730032206230008420</t>
  </si>
  <si>
    <t>伍敏</t>
  </si>
  <si>
    <t>17733468460</t>
  </si>
  <si>
    <t>6313730032206230009141</t>
  </si>
  <si>
    <t>罗晓红</t>
  </si>
  <si>
    <t>15003365969</t>
  </si>
  <si>
    <t>6313730032206230009191</t>
  </si>
  <si>
    <t>金勇</t>
  </si>
  <si>
    <t>13304293962</t>
  </si>
  <si>
    <t>6313730032206230009102</t>
  </si>
  <si>
    <t>汤乐飞</t>
  </si>
  <si>
    <t>18330606656</t>
  </si>
  <si>
    <t>6313730032206230008236</t>
  </si>
  <si>
    <t>毛良鹏</t>
  </si>
  <si>
    <t>13785598056</t>
  </si>
  <si>
    <t>6313730032206230009393</t>
  </si>
  <si>
    <t>李平</t>
  </si>
  <si>
    <t>18500077166</t>
  </si>
  <si>
    <t>6313730032206230009109</t>
  </si>
  <si>
    <t>贺春芳</t>
  </si>
  <si>
    <t>13942942682</t>
  </si>
  <si>
    <t>6313730032206230008136</t>
  </si>
  <si>
    <t>贾璐</t>
  </si>
  <si>
    <t>15011561165</t>
  </si>
  <si>
    <t>6313730032206230008054</t>
  </si>
  <si>
    <t>邱稳进</t>
  </si>
  <si>
    <t>13683004972</t>
  </si>
  <si>
    <t>6313730032206230008133</t>
  </si>
  <si>
    <t>曹静江</t>
  </si>
  <si>
    <t>15555636117</t>
  </si>
  <si>
    <t>6313730032206230008055</t>
  </si>
  <si>
    <t>谭丽芳</t>
  </si>
  <si>
    <t>13780544522</t>
  </si>
  <si>
    <t>6313730032206230009091</t>
  </si>
  <si>
    <t>陈婷</t>
  </si>
  <si>
    <t>18731361558</t>
  </si>
  <si>
    <t>6313730032206230008999</t>
  </si>
  <si>
    <t>陈龙</t>
  </si>
  <si>
    <t>15230611335</t>
  </si>
  <si>
    <t>6313730032206230009073</t>
  </si>
  <si>
    <t>孟军</t>
  </si>
  <si>
    <t>18116495181</t>
  </si>
  <si>
    <t>6313730032206230008003</t>
  </si>
  <si>
    <t>廖庆铭</t>
  </si>
  <si>
    <t>15652002177</t>
  </si>
  <si>
    <t>6313730032206230008076</t>
  </si>
  <si>
    <t>王志成</t>
  </si>
  <si>
    <t>15905589050</t>
  </si>
  <si>
    <t>6313730032206230008013</t>
  </si>
  <si>
    <t>郑小先</t>
  </si>
  <si>
    <t>6313730032206230007975</t>
  </si>
  <si>
    <t>卢鲁思琦</t>
  </si>
  <si>
    <t>15883823287</t>
  </si>
  <si>
    <t>6313730032206230007968</t>
  </si>
  <si>
    <t>祝建英</t>
  </si>
  <si>
    <t>13930664345</t>
  </si>
  <si>
    <t>6313730032206230008011</t>
  </si>
  <si>
    <t>姜悦</t>
  </si>
  <si>
    <t>13126731775</t>
  </si>
  <si>
    <t>6313730032206230007995</t>
  </si>
  <si>
    <t>刘亚</t>
  </si>
  <si>
    <t>13958758415</t>
  </si>
  <si>
    <t>6313730032206230008091</t>
  </si>
  <si>
    <t>彭德贵</t>
  </si>
  <si>
    <t>15936014741</t>
  </si>
  <si>
    <t>6313730032206230009283</t>
  </si>
  <si>
    <t>吴超峰</t>
  </si>
  <si>
    <t>15055555827</t>
  </si>
  <si>
    <t>6313730032206230009175</t>
  </si>
  <si>
    <t>董先波</t>
  </si>
  <si>
    <t>18375324003</t>
  </si>
  <si>
    <t>6313730032206230009150</t>
  </si>
  <si>
    <t>李豪</t>
  </si>
  <si>
    <t>18033609565</t>
  </si>
  <si>
    <t>6313730032206230009259</t>
  </si>
  <si>
    <t>葛志栋</t>
  </si>
  <si>
    <t>18133172257</t>
  </si>
  <si>
    <t>6313730032206230008032</t>
  </si>
  <si>
    <t>陈小娇</t>
  </si>
  <si>
    <t>17856796757</t>
  </si>
  <si>
    <t>6313730032206230008947</t>
  </si>
  <si>
    <t>潘明华</t>
  </si>
  <si>
    <t>13952618493</t>
  </si>
  <si>
    <t>6313730032206230008943</t>
  </si>
  <si>
    <t>姚月华</t>
  </si>
  <si>
    <t>13831643660</t>
  </si>
  <si>
    <t>6313730032206230009062</t>
  </si>
  <si>
    <t>肖波</t>
  </si>
  <si>
    <t>13722614271</t>
  </si>
  <si>
    <t>6313730032206230008183</t>
  </si>
  <si>
    <t>杨超</t>
  </si>
  <si>
    <t>18255813916</t>
  </si>
  <si>
    <t>6313730032206230009328</t>
  </si>
  <si>
    <t>朱正权</t>
  </si>
  <si>
    <t>15617612673</t>
  </si>
  <si>
    <t>6313730032206230009100</t>
  </si>
  <si>
    <t>张义</t>
  </si>
  <si>
    <t>18855849313</t>
  </si>
  <si>
    <t>6313730032206230008040</t>
  </si>
  <si>
    <t>张良芳</t>
  </si>
  <si>
    <t>13810243557</t>
  </si>
  <si>
    <t>6313730032206230008035</t>
  </si>
  <si>
    <t>杨威</t>
  </si>
  <si>
    <t>18633763197</t>
  </si>
  <si>
    <t>6313730032206230007862</t>
  </si>
  <si>
    <t>王晶</t>
  </si>
  <si>
    <t>13030678406</t>
  </si>
  <si>
    <t>6313730032206230007856</t>
  </si>
  <si>
    <t>张玲</t>
  </si>
  <si>
    <t>13601061754</t>
  </si>
  <si>
    <t>6313730032206230007776</t>
  </si>
  <si>
    <t>张国栋</t>
  </si>
  <si>
    <t>13805587421</t>
  </si>
  <si>
    <t>6313730032206230008952</t>
  </si>
  <si>
    <t>万兵兵</t>
  </si>
  <si>
    <t>13955803163</t>
  </si>
  <si>
    <t>6313730032206230008998</t>
  </si>
  <si>
    <t>丁菊红</t>
  </si>
  <si>
    <t>13205580470</t>
  </si>
  <si>
    <t>6313730032206230008994</t>
  </si>
  <si>
    <t>余天翔</t>
  </si>
  <si>
    <t>15305589911</t>
  </si>
  <si>
    <t>6313730032206230008925</t>
  </si>
  <si>
    <t>王厚斌</t>
  </si>
  <si>
    <t>18155889961</t>
  </si>
  <si>
    <t>6313730032206230008926</t>
  </si>
  <si>
    <t>夏江婷</t>
  </si>
  <si>
    <t>13920670211</t>
  </si>
  <si>
    <t>6313730032206230008914</t>
  </si>
  <si>
    <t>胡忠</t>
  </si>
  <si>
    <t>15855588881</t>
  </si>
  <si>
    <t>6313730032206230009078</t>
  </si>
  <si>
    <t>马荣</t>
  </si>
  <si>
    <t>18855224291</t>
  </si>
  <si>
    <t>6313730032206230008130</t>
  </si>
  <si>
    <t>姬长杰</t>
  </si>
  <si>
    <t>15399697771</t>
  </si>
  <si>
    <t>6313730032206230009009</t>
  </si>
  <si>
    <t>李川川</t>
  </si>
  <si>
    <t>13799795235</t>
  </si>
  <si>
    <t>6313730032206230008923</t>
  </si>
  <si>
    <t>黄彦霞</t>
  </si>
  <si>
    <t>13933925179</t>
  </si>
  <si>
    <t>6313730032206230008924</t>
  </si>
  <si>
    <t>彭丽</t>
  </si>
  <si>
    <t>18055892787</t>
  </si>
  <si>
    <t>6313730032206230008916</t>
  </si>
  <si>
    <t>姜敏</t>
  </si>
  <si>
    <t>15956849555</t>
  </si>
  <si>
    <t>6313730032206230009067</t>
  </si>
  <si>
    <t>李波</t>
  </si>
  <si>
    <t>13905587180</t>
  </si>
  <si>
    <t>6313730032206230008910</t>
  </si>
  <si>
    <t>高凡</t>
  </si>
  <si>
    <t>13865893204</t>
  </si>
  <si>
    <t>6313730032206230007878</t>
  </si>
  <si>
    <t>孙春</t>
  </si>
  <si>
    <t>18010040619</t>
  </si>
  <si>
    <t>6313730032206230007883</t>
  </si>
  <si>
    <t>罗兰</t>
  </si>
  <si>
    <t>15156665817</t>
  </si>
  <si>
    <t>6313730032206230007666</t>
  </si>
  <si>
    <t>章琼</t>
  </si>
  <si>
    <t>19541885872</t>
  </si>
  <si>
    <t>6313730032206230007648</t>
  </si>
  <si>
    <t>孙黎磊</t>
  </si>
  <si>
    <t>17355838209</t>
  </si>
  <si>
    <t>6313730032206230007743</t>
  </si>
  <si>
    <t>谢勤</t>
  </si>
  <si>
    <t>15055867322</t>
  </si>
  <si>
    <t>6313730032206230007766</t>
  </si>
  <si>
    <t>张勇</t>
  </si>
  <si>
    <t>15856791884</t>
  </si>
  <si>
    <t>6313730032206230009077</t>
  </si>
  <si>
    <t>罗玲玲</t>
  </si>
  <si>
    <t>15556789098</t>
  </si>
  <si>
    <t>6313730032206230008966</t>
  </si>
  <si>
    <t>段静伟</t>
  </si>
  <si>
    <t>18033649488</t>
  </si>
  <si>
    <t>6313730032206230009061</t>
  </si>
  <si>
    <t>候守春</t>
  </si>
  <si>
    <t>18298116093</t>
  </si>
  <si>
    <t>6313730032206230008897</t>
  </si>
  <si>
    <t>许本云</t>
  </si>
  <si>
    <t>18855899958</t>
  </si>
  <si>
    <t>6313730032206230008104</t>
  </si>
  <si>
    <t>祝朝振</t>
  </si>
  <si>
    <t>15910870682</t>
  </si>
  <si>
    <t>6313730032206230008004</t>
  </si>
  <si>
    <t>谢思雨</t>
  </si>
  <si>
    <t>13965562767</t>
  </si>
  <si>
    <t>6313730032206230008009</t>
  </si>
  <si>
    <t>汪梦怀</t>
  </si>
  <si>
    <t>15231628799</t>
  </si>
  <si>
    <t>6313730032206230008034</t>
  </si>
  <si>
    <t>吕杉杉</t>
  </si>
  <si>
    <t>13269068018</t>
  </si>
  <si>
    <t>6313730032206230007799</t>
  </si>
  <si>
    <t>邹璇</t>
  </si>
  <si>
    <t>13905586202</t>
  </si>
  <si>
    <t>6313730032206230008799</t>
  </si>
  <si>
    <t>谭宝霞</t>
  </si>
  <si>
    <t>13699266846</t>
  </si>
  <si>
    <t>6313730032206230008775</t>
  </si>
  <si>
    <t>陈晓</t>
  </si>
  <si>
    <t>18712530905</t>
  </si>
  <si>
    <t>6313730032206230008781</t>
  </si>
  <si>
    <t>黄华</t>
  </si>
  <si>
    <t>17681076992</t>
  </si>
  <si>
    <t>6313730032206230008861</t>
  </si>
  <si>
    <t>曹昌福</t>
  </si>
  <si>
    <t>13091148026</t>
  </si>
  <si>
    <t>6313730032206230007507</t>
  </si>
  <si>
    <t>费得涛</t>
  </si>
  <si>
    <t>18661120609</t>
  </si>
  <si>
    <t>6313730032220240000001</t>
  </si>
  <si>
    <t>李枫</t>
  </si>
  <si>
    <t>13693374686</t>
  </si>
  <si>
    <t>6313730032206230007557</t>
  </si>
  <si>
    <t>15932504275</t>
  </si>
  <si>
    <t>6313730032206230008788</t>
  </si>
  <si>
    <t>芦朝江</t>
  </si>
  <si>
    <t>13855846345</t>
  </si>
  <si>
    <t>6313730032206230008777</t>
  </si>
  <si>
    <t>刘伟</t>
  </si>
  <si>
    <t>13831675511</t>
  </si>
  <si>
    <t>6313730032206230008772</t>
  </si>
  <si>
    <t>胡艳平</t>
  </si>
  <si>
    <t>15933075693</t>
  </si>
  <si>
    <t>6313730032206230008821</t>
  </si>
  <si>
    <t>陈玉</t>
  </si>
  <si>
    <t>18815587759</t>
  </si>
  <si>
    <t>6313730032206230007780</t>
  </si>
  <si>
    <t>王祖元</t>
  </si>
  <si>
    <t>13910631823</t>
  </si>
  <si>
    <t>6313730032206230007882</t>
  </si>
  <si>
    <t>苏志华</t>
  </si>
  <si>
    <t>18210918685</t>
  </si>
  <si>
    <t>6313730032206230007835</t>
  </si>
  <si>
    <t>罗忍</t>
  </si>
  <si>
    <t>13931661662</t>
  </si>
  <si>
    <t>6313730032206230007851</t>
  </si>
  <si>
    <t>斯尚娥</t>
  </si>
  <si>
    <t>18331177717</t>
  </si>
  <si>
    <t>6313730032206230008682</t>
  </si>
  <si>
    <t>蔡昭慧</t>
  </si>
  <si>
    <t>13722624636</t>
  </si>
  <si>
    <t>6313730032206230008642</t>
  </si>
  <si>
    <t>姚晓军</t>
  </si>
  <si>
    <t>15603121650</t>
  </si>
  <si>
    <t>6313730032206230008415</t>
  </si>
  <si>
    <t>陈俊汲</t>
  </si>
  <si>
    <t>15933489191</t>
  </si>
  <si>
    <t>6313730032206230008210</t>
  </si>
  <si>
    <t>薛家春</t>
  </si>
  <si>
    <t>15955857713</t>
  </si>
  <si>
    <t>6313730032206230008387</t>
  </si>
  <si>
    <t>马程浩</t>
  </si>
  <si>
    <t>17201553571</t>
  </si>
  <si>
    <t>6313730032206230007473</t>
  </si>
  <si>
    <t>邓中素</t>
  </si>
  <si>
    <t>18513486184</t>
  </si>
  <si>
    <t>6313730032206230009553</t>
  </si>
  <si>
    <t>余露纯</t>
  </si>
  <si>
    <t>13956799816</t>
  </si>
  <si>
    <t>6313730032206230009558</t>
  </si>
  <si>
    <t>唐森林</t>
  </si>
  <si>
    <t>15955879484</t>
  </si>
  <si>
    <t>6313730032206230009545</t>
  </si>
  <si>
    <t>李发丽</t>
  </si>
  <si>
    <t>15311968819</t>
  </si>
  <si>
    <t>6313730032206230008837</t>
  </si>
  <si>
    <t>冯杰</t>
  </si>
  <si>
    <t>15641986446</t>
  </si>
  <si>
    <t>6313730032206230008375</t>
  </si>
  <si>
    <t>蒋雅晨</t>
  </si>
  <si>
    <t>18325813792</t>
  </si>
  <si>
    <t>6313730032206230009532</t>
  </si>
  <si>
    <t>齐同舟</t>
  </si>
  <si>
    <t>14792540872</t>
  </si>
  <si>
    <t>6313730032206230009552</t>
  </si>
  <si>
    <t>张莉</t>
  </si>
  <si>
    <t>15311182808</t>
  </si>
  <si>
    <t>6313730032206230009498</t>
  </si>
  <si>
    <t>陈琼</t>
  </si>
  <si>
    <t>13012089967</t>
  </si>
  <si>
    <t>6313730032206230009504</t>
  </si>
  <si>
    <t>吴志玲</t>
  </si>
  <si>
    <t>15075653242</t>
  </si>
  <si>
    <t>6313730032206230008828</t>
  </si>
  <si>
    <t>熊林香</t>
  </si>
  <si>
    <t>18855870551</t>
  </si>
  <si>
    <t>6313730032206230008800</t>
  </si>
  <si>
    <t>徐星辰</t>
  </si>
  <si>
    <t>6313730032206230008794</t>
  </si>
  <si>
    <t>刘可雄</t>
  </si>
  <si>
    <t>13910715698</t>
  </si>
  <si>
    <t>6313730032206230007947</t>
  </si>
  <si>
    <t>沙玉萍</t>
  </si>
  <si>
    <t>15256896295</t>
  </si>
  <si>
    <t>6313730032206230008147</t>
  </si>
  <si>
    <t>张芳</t>
  </si>
  <si>
    <t>17338119145</t>
  </si>
  <si>
    <t>6313730032206230008167</t>
  </si>
  <si>
    <t>唐洁洁</t>
  </si>
  <si>
    <t>13931375388</t>
  </si>
  <si>
    <t>6313730032206230008111</t>
  </si>
  <si>
    <t>陈选莉</t>
  </si>
  <si>
    <t>13505584734</t>
  </si>
  <si>
    <t>6313730032206230009404</t>
  </si>
  <si>
    <t>刘春红</t>
  </si>
  <si>
    <t>14792709789</t>
  </si>
  <si>
    <t>6313730032206230009525</t>
  </si>
  <si>
    <t>雷宏超</t>
  </si>
  <si>
    <t>18735367396</t>
  </si>
  <si>
    <t>6313730032206230009526</t>
  </si>
  <si>
    <t>左红卫</t>
  </si>
  <si>
    <t>18298168678</t>
  </si>
  <si>
    <t>6313730032206230009491</t>
  </si>
  <si>
    <t>吕昌南</t>
  </si>
  <si>
    <t>18955842132</t>
  </si>
  <si>
    <t>6313730032206230009408</t>
  </si>
  <si>
    <t>兰青</t>
  </si>
  <si>
    <t>18210579841</t>
  </si>
  <si>
    <t>6313730032206230009457</t>
  </si>
  <si>
    <t>汪海生</t>
  </si>
  <si>
    <t>15030695101</t>
  </si>
  <si>
    <t>6313730032206230008827</t>
  </si>
  <si>
    <t>康平</t>
  </si>
  <si>
    <t>15921802742</t>
  </si>
  <si>
    <t>6313730032206230008755</t>
  </si>
  <si>
    <t>赵永红</t>
  </si>
  <si>
    <t>18519761548</t>
  </si>
  <si>
    <t>6313730032206230008874</t>
  </si>
  <si>
    <t>邓凤华</t>
  </si>
  <si>
    <t>13501269881</t>
  </si>
  <si>
    <t>6313730032206230008585</t>
  </si>
  <si>
    <t>蒋伟初</t>
  </si>
  <si>
    <t>18955894680</t>
  </si>
  <si>
    <t>6313730032206230008453</t>
  </si>
  <si>
    <t>邓生秀</t>
  </si>
  <si>
    <t>13785682992</t>
  </si>
  <si>
    <t>6313730032206230008569</t>
  </si>
  <si>
    <t>刘洋洋</t>
  </si>
  <si>
    <t>15176326916</t>
  </si>
  <si>
    <t>6313730032206230008461</t>
  </si>
  <si>
    <t>李强斌</t>
  </si>
  <si>
    <t>15076608618</t>
  </si>
  <si>
    <t>6313730032206230007932</t>
  </si>
  <si>
    <t>杨春运</t>
  </si>
  <si>
    <t>15803265581</t>
  </si>
  <si>
    <t>6313730032206230007933</t>
  </si>
  <si>
    <t>徐端英</t>
  </si>
  <si>
    <t>17332684095</t>
  </si>
  <si>
    <t>6313730032206230007767</t>
  </si>
  <si>
    <t>谢一鸣</t>
  </si>
  <si>
    <t>15385293837</t>
  </si>
  <si>
    <t>6313730032206230007684</t>
  </si>
  <si>
    <t>彭基平</t>
  </si>
  <si>
    <t>18931677952</t>
  </si>
  <si>
    <t>6313730032206230007741</t>
  </si>
  <si>
    <t>刘扬祖</t>
  </si>
  <si>
    <t>18726762669</t>
  </si>
  <si>
    <t>6313730032206230007834</t>
  </si>
  <si>
    <t>晏承虎</t>
  </si>
  <si>
    <t>13966828891</t>
  </si>
  <si>
    <t>6313730032206230007651</t>
  </si>
  <si>
    <t>吴海</t>
  </si>
  <si>
    <t>16628501828</t>
  </si>
  <si>
    <t>6313730032206230009359</t>
  </si>
  <si>
    <t>李亚红</t>
  </si>
  <si>
    <t>18649107856</t>
  </si>
  <si>
    <t>6313730032206230009384</t>
  </si>
  <si>
    <t>马于明</t>
  </si>
  <si>
    <t>15605586396</t>
  </si>
  <si>
    <t>6313730032206230009378</t>
  </si>
  <si>
    <t>丁开创</t>
  </si>
  <si>
    <t>15205585550</t>
  </si>
  <si>
    <t>6313730032206230009222</t>
  </si>
  <si>
    <t>杜攀</t>
  </si>
  <si>
    <t>19942608628</t>
  </si>
  <si>
    <t>6313730032206230009311</t>
  </si>
  <si>
    <t>马桂琴</t>
  </si>
  <si>
    <t>15921612716</t>
  </si>
  <si>
    <t>6313730032206230009486</t>
  </si>
  <si>
    <t>郑小燕</t>
  </si>
  <si>
    <t>18096552711</t>
  </si>
  <si>
    <t>6313730032206230009366</t>
  </si>
  <si>
    <t>江三</t>
  </si>
  <si>
    <t>13705589677</t>
  </si>
  <si>
    <t>6313730032206230008592</t>
  </si>
  <si>
    <t>邓道国</t>
  </si>
  <si>
    <t>13352003439</t>
  </si>
  <si>
    <t>6313730032206230008637</t>
  </si>
  <si>
    <t>彭奥杰</t>
  </si>
  <si>
    <t>13956689644</t>
  </si>
  <si>
    <t>6313730032206230008468</t>
  </si>
  <si>
    <t>张梦璞</t>
  </si>
  <si>
    <t>13955877893</t>
  </si>
  <si>
    <t>6313730032206230008470</t>
  </si>
  <si>
    <t>汪平高</t>
  </si>
  <si>
    <t>18298179161</t>
  </si>
  <si>
    <t>6313730032206230007708</t>
  </si>
  <si>
    <t>赵云</t>
  </si>
  <si>
    <t>13855834828</t>
  </si>
  <si>
    <t>6313730032206230007619</t>
  </si>
  <si>
    <t>王远龙</t>
  </si>
  <si>
    <t>15755826661</t>
  </si>
  <si>
    <t>6313730032206230007641</t>
  </si>
  <si>
    <t>潘金桥</t>
  </si>
  <si>
    <t>18155881118</t>
  </si>
  <si>
    <t>6313730032206230007649</t>
  </si>
  <si>
    <t>杨玉莲</t>
  </si>
  <si>
    <t>13965577857</t>
  </si>
  <si>
    <t>6313730032206230007727</t>
  </si>
  <si>
    <t>严翠翠</t>
  </si>
  <si>
    <t>19855855709</t>
  </si>
  <si>
    <t>6313730032206230007556</t>
  </si>
  <si>
    <t>邓友元</t>
  </si>
  <si>
    <t>13966836141</t>
  </si>
  <si>
    <t>6313730032206230009289</t>
  </si>
  <si>
    <t>陈敦科</t>
  </si>
  <si>
    <t>13331039929</t>
  </si>
  <si>
    <t>6313730032206230008971</t>
  </si>
  <si>
    <t>王翠艳</t>
  </si>
  <si>
    <t>18355467668</t>
  </si>
  <si>
    <t>6313730032206230009206</t>
  </si>
  <si>
    <t>吴小宁</t>
  </si>
  <si>
    <t>13866280129</t>
  </si>
  <si>
    <t>6313730032206230009001</t>
  </si>
  <si>
    <t>陶红</t>
  </si>
  <si>
    <t>15055544248</t>
  </si>
  <si>
    <t>6313730032206230009070</t>
  </si>
  <si>
    <t>游晶</t>
  </si>
  <si>
    <t>15155806358</t>
  </si>
  <si>
    <t>6313730032206230009040</t>
  </si>
  <si>
    <t>雷敏</t>
  </si>
  <si>
    <t>13956804766</t>
  </si>
  <si>
    <t>6313730032206230009049</t>
  </si>
  <si>
    <t>王学尚</t>
  </si>
  <si>
    <t>15302015100</t>
  </si>
  <si>
    <t>6313730032206230009435</t>
  </si>
  <si>
    <t>肖敬珩</t>
  </si>
  <si>
    <t>15858477052</t>
  </si>
  <si>
    <t>6313730032206230009509</t>
  </si>
  <si>
    <t>许诗敏</t>
  </si>
  <si>
    <t>15755860768</t>
  </si>
  <si>
    <t>6313730032206230009499</t>
  </si>
  <si>
    <t>王雪琴</t>
  </si>
  <si>
    <t>13014064777</t>
  </si>
  <si>
    <t>6313730032206230009494</t>
  </si>
  <si>
    <t>罗启鸿</t>
  </si>
  <si>
    <t>19356892929</t>
  </si>
  <si>
    <t>6313730032206230009522</t>
  </si>
  <si>
    <t>董治刚</t>
  </si>
  <si>
    <t>18761435265</t>
  </si>
  <si>
    <t>6313730032206230009443</t>
  </si>
  <si>
    <t>罗林</t>
  </si>
  <si>
    <t>13920270894</t>
  </si>
  <si>
    <t>6313730032206230008577</t>
  </si>
  <si>
    <t>陈芳</t>
  </si>
  <si>
    <t>13855896715</t>
  </si>
  <si>
    <t>6313730032206230008633</t>
  </si>
  <si>
    <t>王建华</t>
  </si>
  <si>
    <t>13339049798</t>
  </si>
  <si>
    <t>6313730032206230008510</t>
  </si>
  <si>
    <t>雷火生</t>
  </si>
  <si>
    <t>15955842936</t>
  </si>
  <si>
    <t>6313730032206230007745</t>
  </si>
  <si>
    <t>熊喜章</t>
  </si>
  <si>
    <t>15556872656</t>
  </si>
  <si>
    <t>6313730032206230007765</t>
  </si>
  <si>
    <t>刘兵</t>
  </si>
  <si>
    <t>13625581620</t>
  </si>
  <si>
    <t>6313730032206230007680</t>
  </si>
  <si>
    <t>张元城</t>
  </si>
  <si>
    <t>17681091445</t>
  </si>
  <si>
    <t>6313730032206230007633</t>
  </si>
  <si>
    <t>唐振国</t>
  </si>
  <si>
    <t>13821202234</t>
  </si>
  <si>
    <t>6313730032206230008842</t>
  </si>
  <si>
    <t>刘锐</t>
  </si>
  <si>
    <t>15155802331</t>
  </si>
  <si>
    <t>6313730032206230008770</t>
  </si>
  <si>
    <t>马兴豪</t>
  </si>
  <si>
    <t>15856790086</t>
  </si>
  <si>
    <t>6313730032206230008316</t>
  </si>
  <si>
    <t>朱宗仁</t>
  </si>
  <si>
    <t>13855813271</t>
  </si>
  <si>
    <t>6313730032206230009015</t>
  </si>
  <si>
    <t>单秋云</t>
  </si>
  <si>
    <t>13155586885</t>
  </si>
  <si>
    <t>6313730032206230008989</t>
  </si>
  <si>
    <t>黄春泉</t>
  </si>
  <si>
    <t>18456003974</t>
  </si>
  <si>
    <t>6313730032206230009029</t>
  </si>
  <si>
    <t>高健</t>
  </si>
  <si>
    <t>18326886072</t>
  </si>
  <si>
    <t>6313730032206230008960</t>
  </si>
  <si>
    <t>刘华</t>
  </si>
  <si>
    <t>13662063054</t>
  </si>
  <si>
    <t>6313730032206230009055</t>
  </si>
  <si>
    <t>岳海林</t>
  </si>
  <si>
    <t>17331668310</t>
  </si>
  <si>
    <t>6313730032206230008814</t>
  </si>
  <si>
    <t>邵杰</t>
  </si>
  <si>
    <t>13931672559</t>
  </si>
  <si>
    <t>6313730032206230008884</t>
  </si>
  <si>
    <t>陈洪虹</t>
  </si>
  <si>
    <t>17398358903</t>
  </si>
  <si>
    <t>6313730032206230008862</t>
  </si>
  <si>
    <t>双秒鸿</t>
  </si>
  <si>
    <t>17856692719</t>
  </si>
  <si>
    <t>6313730032206230008869</t>
  </si>
  <si>
    <t>13855877427</t>
  </si>
  <si>
    <t>6313730032206230008567</t>
  </si>
  <si>
    <t>梁小波</t>
  </si>
  <si>
    <t>13103266786</t>
  </si>
  <si>
    <t>6313730032206230009428</t>
  </si>
  <si>
    <t>戴雨润</t>
  </si>
  <si>
    <t>18955810288</t>
  </si>
  <si>
    <t>6313730032206230009429</t>
  </si>
  <si>
    <t>王庆田</t>
  </si>
  <si>
    <t>13920393666</t>
  </si>
  <si>
    <t>6313730032206230009445</t>
  </si>
  <si>
    <t>马红斌</t>
  </si>
  <si>
    <t>13552095640</t>
  </si>
  <si>
    <t>6313730032206230009376</t>
  </si>
  <si>
    <t>王伟</t>
  </si>
  <si>
    <t>13612013319</t>
  </si>
  <si>
    <t>6313730032206230008662</t>
  </si>
  <si>
    <t>陈金梅</t>
  </si>
  <si>
    <t>15100661474</t>
  </si>
  <si>
    <t>6313730032206230007674</t>
  </si>
  <si>
    <t>刘水凤</t>
  </si>
  <si>
    <t>15309686784</t>
  </si>
  <si>
    <t>6313730032206230008134</t>
  </si>
  <si>
    <t>肖亚琴</t>
  </si>
  <si>
    <t>13661239972</t>
  </si>
  <si>
    <t>6313730032206230008018</t>
  </si>
  <si>
    <t>向蓉</t>
  </si>
  <si>
    <t>13180380636</t>
  </si>
  <si>
    <t>6313730032206230009027</t>
  </si>
  <si>
    <t>吴绍文</t>
  </si>
  <si>
    <t>13683324938</t>
  </si>
  <si>
    <t>6313730032206230008524</t>
  </si>
  <si>
    <t>刘玉峰</t>
  </si>
  <si>
    <t>15731677935</t>
  </si>
  <si>
    <t>6313730032206230008521</t>
  </si>
  <si>
    <t>朱家龙</t>
  </si>
  <si>
    <t>13832617441</t>
  </si>
  <si>
    <t>6313730032206230008443</t>
  </si>
  <si>
    <t>李玉红</t>
  </si>
  <si>
    <t>15755867609</t>
  </si>
  <si>
    <t>6313730032206230009472</t>
  </si>
  <si>
    <t>江孝祖</t>
  </si>
  <si>
    <t>15888127989</t>
  </si>
  <si>
    <t>6313730032206230008516</t>
  </si>
  <si>
    <t>游朦</t>
  </si>
  <si>
    <t>17733461620</t>
  </si>
  <si>
    <t>6313730032206230008634</t>
  </si>
  <si>
    <t>李超</t>
  </si>
  <si>
    <t>15226669865</t>
  </si>
  <si>
    <t>6313730032206230008551</t>
  </si>
  <si>
    <t>郭又平</t>
  </si>
  <si>
    <t>13855801282</t>
  </si>
  <si>
    <t>6313730032206230007499</t>
  </si>
  <si>
    <t>伍修磊</t>
  </si>
  <si>
    <t>13363626700</t>
  </si>
  <si>
    <t>6313730032206230007535</t>
  </si>
  <si>
    <t>张丹凤</t>
  </si>
  <si>
    <t>18756785625</t>
  </si>
  <si>
    <t>6313730032206230008666</t>
  </si>
  <si>
    <t>刘刚</t>
  </si>
  <si>
    <t>13754565887</t>
  </si>
  <si>
    <t>6313730032220230000030</t>
  </si>
  <si>
    <t>荆州区楚泉庄餐饮店</t>
  </si>
  <si>
    <t>13699246456</t>
  </si>
  <si>
    <t>6313730032206230008410</t>
  </si>
  <si>
    <t>黄勤</t>
  </si>
  <si>
    <t>13865890894</t>
  </si>
  <si>
    <t>6313730032206230008496</t>
  </si>
  <si>
    <t>周卫清</t>
  </si>
  <si>
    <t>18811192603</t>
  </si>
  <si>
    <t>6313730032206230008404</t>
  </si>
  <si>
    <t>魏光凤</t>
  </si>
  <si>
    <t>15231618774</t>
  </si>
  <si>
    <t>6313730032206230009268</t>
  </si>
  <si>
    <t>秦玲菊</t>
  </si>
  <si>
    <t>13503264316</t>
  </si>
  <si>
    <t>6313730032206230009245</t>
  </si>
  <si>
    <t>秦雪花</t>
  </si>
  <si>
    <t>18306260865</t>
  </si>
  <si>
    <t>6313730032206230009246</t>
  </si>
  <si>
    <t>宋冬冬</t>
  </si>
  <si>
    <t>13930693899</t>
  </si>
  <si>
    <t>6313730032206230009247</t>
  </si>
  <si>
    <t>刘青</t>
  </si>
  <si>
    <t>15805586748</t>
  </si>
  <si>
    <t>6313730032206230009248</t>
  </si>
  <si>
    <t>朱思魏</t>
  </si>
  <si>
    <t>13931620534</t>
  </si>
  <si>
    <t>6313730032206230008545</t>
  </si>
  <si>
    <t>陈菊</t>
  </si>
  <si>
    <t>15931651152</t>
  </si>
  <si>
    <t>6313730032206230008457</t>
  </si>
  <si>
    <t>刘春海</t>
  </si>
  <si>
    <t>17710911791</t>
  </si>
  <si>
    <t>6313730032206230008669</t>
  </si>
  <si>
    <t>魏广炎</t>
  </si>
  <si>
    <t>17332612551</t>
  </si>
  <si>
    <t>6313730032206230008519</t>
  </si>
  <si>
    <t>姚娟</t>
  </si>
  <si>
    <t>15670224987</t>
  </si>
  <si>
    <t>6313730032206230008493</t>
  </si>
  <si>
    <t>吕婷婷</t>
  </si>
  <si>
    <t>13777731533</t>
  </si>
  <si>
    <t>6313730032206230007546</t>
  </si>
  <si>
    <t>何军</t>
  </si>
  <si>
    <t>13966816505</t>
  </si>
  <si>
    <t>6313730032206230007547</t>
  </si>
  <si>
    <t>王保国</t>
  </si>
  <si>
    <t>13932652566</t>
  </si>
  <si>
    <t>6313730032206230007562</t>
  </si>
  <si>
    <t>汪厚毅</t>
  </si>
  <si>
    <t>15301778523</t>
  </si>
  <si>
    <t>6313730032206230007548</t>
  </si>
  <si>
    <t>周静</t>
  </si>
  <si>
    <t>13932680677</t>
  </si>
  <si>
    <t>6313730032206230007605</t>
  </si>
  <si>
    <t>陈自强</t>
  </si>
  <si>
    <t>13470811699</t>
  </si>
  <si>
    <t>6313730032206230007984</t>
  </si>
  <si>
    <t>郭辉</t>
  </si>
  <si>
    <t>17639587455</t>
  </si>
  <si>
    <t>6313730032206230007588</t>
  </si>
  <si>
    <t>王亚男</t>
  </si>
  <si>
    <t>13131681395</t>
  </si>
  <si>
    <t>6313730032206230009188</t>
  </si>
  <si>
    <t>钱直松</t>
  </si>
  <si>
    <t>13652164138</t>
  </si>
  <si>
    <t>6313730032206230009327</t>
  </si>
  <si>
    <t>任艳枝</t>
  </si>
  <si>
    <t>18121013569</t>
  </si>
  <si>
    <t>6313730032206230009226</t>
  </si>
  <si>
    <t>胡瑞平</t>
  </si>
  <si>
    <t>15128662906</t>
  </si>
  <si>
    <t>6313730032206230009131</t>
  </si>
  <si>
    <t>金阳</t>
  </si>
  <si>
    <t>19850327633</t>
  </si>
  <si>
    <t>6313730032206230008231</t>
  </si>
  <si>
    <t>王小曼</t>
  </si>
  <si>
    <t>15933633580</t>
  </si>
  <si>
    <t>6313730032206230008407</t>
  </si>
  <si>
    <t>彭猛</t>
  </si>
  <si>
    <t>15822407812</t>
  </si>
  <si>
    <t>6313730032206230008402</t>
  </si>
  <si>
    <t>陈琼华</t>
  </si>
  <si>
    <t>15112277638</t>
  </si>
  <si>
    <t>6313730032206230008275</t>
  </si>
  <si>
    <t>胡春华</t>
  </si>
  <si>
    <t>13582461431</t>
  </si>
  <si>
    <t>6313730032206230008253</t>
  </si>
  <si>
    <t>陈雪</t>
  </si>
  <si>
    <t>15237606223</t>
  </si>
  <si>
    <t>6313730032206230008350</t>
  </si>
  <si>
    <t>孙汉辛</t>
  </si>
  <si>
    <t>18330601340</t>
  </si>
  <si>
    <t>6313730032206230008347</t>
  </si>
  <si>
    <t>段玉华</t>
  </si>
  <si>
    <t>13704669880</t>
  </si>
  <si>
    <t>6313730032206230009293</t>
  </si>
  <si>
    <t>瞿小军</t>
  </si>
  <si>
    <t>18731652397</t>
  </si>
  <si>
    <t>6313730032206230009252</t>
  </si>
  <si>
    <t>郑美珠</t>
  </si>
  <si>
    <t>6313730032206230009274</t>
  </si>
  <si>
    <t>袁玉格</t>
  </si>
  <si>
    <t>17356957267</t>
  </si>
  <si>
    <t>6313730032206230009217</t>
  </si>
  <si>
    <t>瞿美华</t>
  </si>
  <si>
    <t>19955815276</t>
  </si>
  <si>
    <t>6313730032206230008307</t>
  </si>
  <si>
    <t>徐永黎</t>
  </si>
  <si>
    <t>18325885822</t>
  </si>
  <si>
    <t>6313730032206230008425</t>
  </si>
  <si>
    <t>陈阳</t>
  </si>
  <si>
    <t>18844953285</t>
  </si>
  <si>
    <t>6313730032206230008427</t>
  </si>
  <si>
    <t>王贞霞</t>
  </si>
  <si>
    <t>13651195348</t>
  </si>
  <si>
    <t>6313730032206230008212</t>
  </si>
  <si>
    <t>刘建敏</t>
  </si>
  <si>
    <t>15256179897</t>
  </si>
  <si>
    <t>6313730032206230007453</t>
  </si>
  <si>
    <t>文欢欢</t>
  </si>
  <si>
    <t>13231729313</t>
  </si>
  <si>
    <t>6313730032206230007461</t>
  </si>
  <si>
    <t>张曼</t>
  </si>
  <si>
    <t>13855829972</t>
  </si>
  <si>
    <t>6313730032206230008302</t>
  </si>
  <si>
    <t>柏学兵</t>
  </si>
  <si>
    <t>15127731341</t>
  </si>
  <si>
    <t>6313730032206230008298</t>
  </si>
  <si>
    <t>胡小玲</t>
  </si>
  <si>
    <t>17682886383</t>
  </si>
  <si>
    <t>6313730032206230008358</t>
  </si>
  <si>
    <t>15630776189</t>
  </si>
  <si>
    <t>6313730032206230008077</t>
  </si>
  <si>
    <t>高海燕</t>
  </si>
  <si>
    <t>13955838831</t>
  </si>
  <si>
    <t>6313730032206230008042</t>
  </si>
  <si>
    <t>18226303537</t>
  </si>
  <si>
    <t>6313730032206230007988</t>
  </si>
  <si>
    <t>冯贵刚</t>
  </si>
  <si>
    <t>15855811418</t>
  </si>
  <si>
    <t>6313730032206230009105</t>
  </si>
  <si>
    <t>高建康</t>
  </si>
  <si>
    <t>18275876288</t>
  </si>
  <si>
    <t>6313730032206230009118</t>
  </si>
  <si>
    <t>肖青</t>
  </si>
  <si>
    <t>18726402633</t>
  </si>
  <si>
    <t>6313730032206230009241</t>
  </si>
  <si>
    <t>张忠雄</t>
  </si>
  <si>
    <t>17856721129</t>
  </si>
  <si>
    <t>6313730032206230009126</t>
  </si>
  <si>
    <t>刘波</t>
  </si>
  <si>
    <t>18503172973</t>
  </si>
  <si>
    <t>6313730032206230008214</t>
  </si>
  <si>
    <t>罗小洲</t>
  </si>
  <si>
    <t>15955819998</t>
  </si>
  <si>
    <t>6313730032206230008417</t>
  </si>
  <si>
    <t>沈磊</t>
  </si>
  <si>
    <t>13905583237</t>
  </si>
  <si>
    <t>6313730032206230008235</t>
  </si>
  <si>
    <t>赵强</t>
  </si>
  <si>
    <t>17755828282</t>
  </si>
  <si>
    <t>6313730032206230008383</t>
  </si>
  <si>
    <t>严圣桂</t>
  </si>
  <si>
    <t>15901701433</t>
  </si>
  <si>
    <t>6313730032206230008318</t>
  </si>
  <si>
    <t>19016207070</t>
  </si>
  <si>
    <t>6313730032206230008319</t>
  </si>
  <si>
    <t>朱光伟</t>
  </si>
  <si>
    <t>13956685134</t>
  </si>
  <si>
    <t>6313730032206230009561</t>
  </si>
  <si>
    <t>蔡晓姝</t>
  </si>
  <si>
    <t>17352337858</t>
  </si>
  <si>
    <t>6313730032206230009396</t>
  </si>
  <si>
    <t>刘仁静</t>
  </si>
  <si>
    <t>17730253285</t>
  </si>
  <si>
    <t>6313730032206230009355</t>
  </si>
  <si>
    <t>付晓红</t>
  </si>
  <si>
    <t>15856885026</t>
  </si>
  <si>
    <t>6313730032206230009382</t>
  </si>
  <si>
    <t>张颖</t>
  </si>
  <si>
    <t>15205588058</t>
  </si>
  <si>
    <t>6313730032206230009179</t>
  </si>
  <si>
    <t>吴贤金</t>
  </si>
  <si>
    <t>18911773828</t>
  </si>
  <si>
    <t>6313730032206230008022</t>
  </si>
  <si>
    <t>15055503601</t>
  </si>
  <si>
    <t>6313730032206230008062</t>
  </si>
  <si>
    <t>曾川东</t>
  </si>
  <si>
    <t>15030462169</t>
  </si>
  <si>
    <t>6313730032206230008016</t>
  </si>
  <si>
    <t>崔容</t>
  </si>
  <si>
    <t>13831600781</t>
  </si>
  <si>
    <t>6313730032206230009085</t>
  </si>
  <si>
    <t>王泽词</t>
  </si>
  <si>
    <t>18698088995</t>
  </si>
  <si>
    <t>6313730032206230009262</t>
  </si>
  <si>
    <t>朱明珍</t>
  </si>
  <si>
    <t>6313730032206230009236</t>
  </si>
  <si>
    <t>倪红荣</t>
  </si>
  <si>
    <t>15155828146</t>
  </si>
  <si>
    <t>6313730032206230009080</t>
  </si>
  <si>
    <t>张贺伟</t>
  </si>
  <si>
    <t>18726571724</t>
  </si>
  <si>
    <t>6313730032206230009124</t>
  </si>
  <si>
    <t>李胜军</t>
  </si>
  <si>
    <t>13832966051</t>
  </si>
  <si>
    <t>6313730032206230009271</t>
  </si>
  <si>
    <t>李德祥</t>
  </si>
  <si>
    <t>17734065602</t>
  </si>
  <si>
    <t>6313730032206230009014</t>
  </si>
  <si>
    <t>董茜</t>
  </si>
  <si>
    <t>18612703688</t>
  </si>
  <si>
    <t>6313730032206230009005</t>
  </si>
  <si>
    <t>13696698093</t>
  </si>
  <si>
    <t>6313730032206230008002</t>
  </si>
  <si>
    <t>周生耀</t>
  </si>
  <si>
    <t>13466664443</t>
  </si>
  <si>
    <t>6313730032206230008021</t>
  </si>
  <si>
    <t>张绍清</t>
  </si>
  <si>
    <t>15522676463</t>
  </si>
  <si>
    <t>6313730032206230007993</t>
  </si>
  <si>
    <t>夏泽惠</t>
  </si>
  <si>
    <t>13722637563</t>
  </si>
  <si>
    <t>6313730032206230008131</t>
  </si>
  <si>
    <t>战晓岩</t>
  </si>
  <si>
    <t>6313730032206230009298</t>
  </si>
  <si>
    <t>王威</t>
  </si>
  <si>
    <t>6313730032206230008127</t>
  </si>
  <si>
    <t>田东方</t>
  </si>
  <si>
    <t>18222257555</t>
  </si>
  <si>
    <t>6313730032206230008178</t>
  </si>
  <si>
    <t>姜前军</t>
  </si>
  <si>
    <t>13393363786</t>
  </si>
  <si>
    <t>6313730032206230008078</t>
  </si>
  <si>
    <t>张秀芳</t>
  </si>
  <si>
    <t>15551373008</t>
  </si>
  <si>
    <t>6313730032206230008176</t>
  </si>
  <si>
    <t>董珍燕</t>
  </si>
  <si>
    <t>15255871253</t>
  </si>
  <si>
    <t>6313730032206230008100</t>
  </si>
  <si>
    <t>王璐璐</t>
  </si>
  <si>
    <t>15555855516</t>
  </si>
  <si>
    <t>6313730032206230008118</t>
  </si>
  <si>
    <t>李根</t>
  </si>
  <si>
    <t>13651230509</t>
  </si>
  <si>
    <t>6313730032206230009026</t>
  </si>
  <si>
    <t>袁泽斌</t>
  </si>
  <si>
    <t>13294001618</t>
  </si>
  <si>
    <t>6313730032206230009058</t>
  </si>
  <si>
    <t>陈秋伊</t>
  </si>
  <si>
    <t>18726546106</t>
  </si>
  <si>
    <t>6313730032206230009063</t>
  </si>
  <si>
    <t>谭利琼</t>
  </si>
  <si>
    <t>13801309009</t>
  </si>
  <si>
    <t>6313730032206230007973</t>
  </si>
  <si>
    <t>严海成</t>
  </si>
  <si>
    <t>18322598791</t>
  </si>
  <si>
    <t>6313730032206230008135</t>
  </si>
  <si>
    <t>胡安柏</t>
  </si>
  <si>
    <t>15030686903</t>
  </si>
  <si>
    <t>6313730032206230008132</t>
  </si>
  <si>
    <t>黄恭枝</t>
  </si>
  <si>
    <t>13810443676</t>
  </si>
  <si>
    <t>6313730032206230007970</t>
  </si>
  <si>
    <t>岳辉</t>
  </si>
  <si>
    <t>13716302920</t>
  </si>
  <si>
    <t>6313730032206230008121</t>
  </si>
  <si>
    <t>陈文</t>
  </si>
  <si>
    <t>13512827011</t>
  </si>
  <si>
    <t>6313730032206230009162</t>
  </si>
  <si>
    <t>杨典龙</t>
  </si>
  <si>
    <t>13832662375</t>
  </si>
  <si>
    <t>6313730032206230009187</t>
  </si>
  <si>
    <t>吴凡</t>
  </si>
  <si>
    <t>18330683209</t>
  </si>
  <si>
    <t>6313730032206230008936</t>
  </si>
  <si>
    <t>郑芸芸</t>
  </si>
  <si>
    <t>15022044822</t>
  </si>
  <si>
    <t>6313730032206230008938</t>
  </si>
  <si>
    <t>张平</t>
  </si>
  <si>
    <t>13520519381</t>
  </si>
  <si>
    <t>6313730032206230008972</t>
  </si>
  <si>
    <t>19956868788</t>
  </si>
  <si>
    <t>6313730032206230008986</t>
  </si>
  <si>
    <t>王少青</t>
  </si>
  <si>
    <t>17600145587</t>
  </si>
  <si>
    <t>6313730032206230007891</t>
  </si>
  <si>
    <t>朱梦晨</t>
  </si>
  <si>
    <t>15132612122</t>
  </si>
  <si>
    <t>6313730032206230007852</t>
  </si>
  <si>
    <t>王邦龙</t>
  </si>
  <si>
    <t>13164001596</t>
  </si>
  <si>
    <t>6313730032206230007847</t>
  </si>
  <si>
    <t>鲁振华</t>
  </si>
  <si>
    <t>13195587952</t>
  </si>
  <si>
    <t>6313730032206230007863</t>
  </si>
  <si>
    <t>邵四元</t>
  </si>
  <si>
    <t>13633160196</t>
  </si>
  <si>
    <t>6313730032206230008934</t>
  </si>
  <si>
    <t>彭庭高</t>
  </si>
  <si>
    <t>18201608079</t>
  </si>
  <si>
    <t>6313730032206230008151</t>
  </si>
  <si>
    <t>党二女</t>
  </si>
  <si>
    <t>13301045699</t>
  </si>
  <si>
    <t>6313730032206230008108</t>
  </si>
  <si>
    <t>陈新平</t>
  </si>
  <si>
    <t>15030675702</t>
  </si>
  <si>
    <t>6313730032206230008143</t>
  </si>
  <si>
    <t>孙克</t>
  </si>
  <si>
    <t>19166175880</t>
  </si>
  <si>
    <t>6313730032206230008912</t>
  </si>
  <si>
    <t>马迎春</t>
  </si>
  <si>
    <t>15932162743</t>
  </si>
  <si>
    <t>6313730032206230009079</t>
  </si>
  <si>
    <t>沈现忠</t>
  </si>
  <si>
    <t>15715682993</t>
  </si>
  <si>
    <t>6313730032206230008896</t>
  </si>
  <si>
    <t>陈志伟</t>
  </si>
  <si>
    <t>13855887220</t>
  </si>
  <si>
    <t>6313730032206230007865</t>
  </si>
  <si>
    <t>佘振鹏</t>
  </si>
  <si>
    <t>13785649929</t>
  </si>
  <si>
    <t>6313730032206230007896</t>
  </si>
  <si>
    <t>包巧玲</t>
  </si>
  <si>
    <t>15031618887</t>
  </si>
  <si>
    <t>6313730032206230007764</t>
  </si>
  <si>
    <t>王芳芳</t>
  </si>
  <si>
    <t>13605586968</t>
  </si>
  <si>
    <t>6313730032206230007634</t>
  </si>
  <si>
    <t>张雪</t>
  </si>
  <si>
    <t>13855852970</t>
  </si>
  <si>
    <t>6313730032206230009068</t>
  </si>
  <si>
    <t>刘红</t>
  </si>
  <si>
    <t>15652630661</t>
  </si>
  <si>
    <t>6313730032206230009069</t>
  </si>
  <si>
    <t>彭晓伟</t>
  </si>
  <si>
    <t>18511290335</t>
  </si>
  <si>
    <t>6313730032206230008968</t>
  </si>
  <si>
    <t>蒋占祥</t>
  </si>
  <si>
    <t>18203391076</t>
  </si>
  <si>
    <t>6313730032206230009000</t>
  </si>
  <si>
    <t>15933266956</t>
  </si>
  <si>
    <t>6313730032206230008928</t>
  </si>
  <si>
    <t>李强</t>
  </si>
  <si>
    <t>15901547558</t>
  </si>
  <si>
    <t>6313730032206230008186</t>
  </si>
  <si>
    <t>胡朝明</t>
  </si>
  <si>
    <t>13998926791</t>
  </si>
  <si>
    <t>6313730032206230007991</t>
  </si>
  <si>
    <t>李光金</t>
  </si>
  <si>
    <t>15755863726</t>
  </si>
  <si>
    <t>6313730032206230008109</t>
  </si>
  <si>
    <t>田卫华</t>
  </si>
  <si>
    <t>13321131527</t>
  </si>
  <si>
    <t>6313730032206230008774</t>
  </si>
  <si>
    <t>杨飞</t>
  </si>
  <si>
    <t>13865898407</t>
  </si>
  <si>
    <t>6313730032206230008891</t>
  </si>
  <si>
    <t>聂祖军</t>
  </si>
  <si>
    <t>15910325148</t>
  </si>
  <si>
    <t>6313730032206230008831</t>
  </si>
  <si>
    <t>贺元芳</t>
  </si>
  <si>
    <t>13803160309</t>
  </si>
  <si>
    <t>6313730032206230008817</t>
  </si>
  <si>
    <t>柳芳</t>
  </si>
  <si>
    <t>15131713864</t>
  </si>
  <si>
    <t>6313730032206230008563</t>
  </si>
  <si>
    <t>张志梅</t>
  </si>
  <si>
    <t>13166562129</t>
  </si>
  <si>
    <t>6313730032206230007752</t>
  </si>
  <si>
    <t>胡耀谱</t>
  </si>
  <si>
    <t>13230675102</t>
  </si>
  <si>
    <t>6313730032206230007537</t>
  </si>
  <si>
    <t>赵福英</t>
  </si>
  <si>
    <t>17802903341</t>
  </si>
  <si>
    <t>6313730032206230007583</t>
  </si>
  <si>
    <t>郑丹青</t>
  </si>
  <si>
    <t>13582703109</t>
  </si>
  <si>
    <t>6313730032206230007483</t>
  </si>
  <si>
    <t>齐家银</t>
  </si>
  <si>
    <t>15942942376</t>
  </si>
  <si>
    <t>6313730032206230007555</t>
  </si>
  <si>
    <t>雷友珍</t>
  </si>
  <si>
    <t>15031611988</t>
  </si>
  <si>
    <t>6313730032206230008757</t>
  </si>
  <si>
    <t>张家皓</t>
  </si>
  <si>
    <t>18632691660</t>
  </si>
  <si>
    <t>6313730032206230008785</t>
  </si>
  <si>
    <t>李涛</t>
  </si>
  <si>
    <t>13901004931</t>
  </si>
  <si>
    <t>6313730032206230008776</t>
  </si>
  <si>
    <t>李秀全</t>
  </si>
  <si>
    <t>13785622572</t>
  </si>
  <si>
    <t>6313730032206230008722</t>
  </si>
  <si>
    <t>吴启明</t>
  </si>
  <si>
    <t>15028380811</t>
  </si>
  <si>
    <t>6313730032206230008806</t>
  </si>
  <si>
    <t>曹燕</t>
  </si>
  <si>
    <t>13673260930</t>
  </si>
  <si>
    <t>6313730032206230008783</t>
  </si>
  <si>
    <t>赵英</t>
  </si>
  <si>
    <t>18931684992</t>
  </si>
  <si>
    <t>6313730032206230007840</t>
  </si>
  <si>
    <t>张士梅</t>
  </si>
  <si>
    <t>17611298765</t>
  </si>
  <si>
    <t>6313730032206230007877</t>
  </si>
  <si>
    <t>武丽华</t>
  </si>
  <si>
    <t>15010400539</t>
  </si>
  <si>
    <t>6313730032206230008401</t>
  </si>
  <si>
    <t>杨虞琴</t>
  </si>
  <si>
    <t>18931649491</t>
  </si>
  <si>
    <t>6313730032206230008371</t>
  </si>
  <si>
    <t>15831693965</t>
  </si>
  <si>
    <t>6313730032206230008255</t>
  </si>
  <si>
    <t>姚芳</t>
  </si>
  <si>
    <t>13833676838</t>
  </si>
  <si>
    <t>6313730032206230007451</t>
  </si>
  <si>
    <t>易必全</t>
  </si>
  <si>
    <t>13810090627</t>
  </si>
  <si>
    <t>6313730032206230009565</t>
  </si>
  <si>
    <t>袁缘</t>
  </si>
  <si>
    <t>13932652331</t>
  </si>
  <si>
    <t>6313730032206230009566</t>
  </si>
  <si>
    <t>马昌俊</t>
  </si>
  <si>
    <t>13833691809</t>
  </si>
  <si>
    <t>6313730032206230009568</t>
  </si>
  <si>
    <t>孔晓顺</t>
  </si>
  <si>
    <t>13930635493</t>
  </si>
  <si>
    <t>6313730032206230009546</t>
  </si>
  <si>
    <t>唐敦清</t>
  </si>
  <si>
    <t>15555876628</t>
  </si>
  <si>
    <t>6313730032206230008808</t>
  </si>
  <si>
    <t>鲍斌</t>
  </si>
  <si>
    <t>15210787641</t>
  </si>
  <si>
    <t>6313730032206230008857</t>
  </si>
  <si>
    <t>徐小双</t>
  </si>
  <si>
    <t>15333163365</t>
  </si>
  <si>
    <t>6313730032206230008870</t>
  </si>
  <si>
    <t>张琳</t>
  </si>
  <si>
    <t>13865892852</t>
  </si>
  <si>
    <t>6313730032206230008792</t>
  </si>
  <si>
    <t>胡敏</t>
  </si>
  <si>
    <t>18701336882</t>
  </si>
  <si>
    <t>6313730032206230008836</t>
  </si>
  <si>
    <t>冉海龙</t>
  </si>
  <si>
    <t>15398167186</t>
  </si>
  <si>
    <t>6313730032206230007949</t>
  </si>
  <si>
    <t>肖依风</t>
  </si>
  <si>
    <t>15110203037</t>
  </si>
  <si>
    <t>6313730032206230007950</t>
  </si>
  <si>
    <t>孙火香</t>
  </si>
  <si>
    <t>18210425184</t>
  </si>
  <si>
    <t>6313730032206230008398</t>
  </si>
  <si>
    <t>倪安杰</t>
  </si>
  <si>
    <t>15127609270</t>
  </si>
  <si>
    <t>6313730032206230008377</t>
  </si>
  <si>
    <t>陈诗</t>
  </si>
  <si>
    <t>15856865205</t>
  </si>
  <si>
    <t>6313730032206230008390</t>
  </si>
  <si>
    <t>李洋</t>
  </si>
  <si>
    <t>15332016066</t>
  </si>
  <si>
    <t>6313730032206230009529</t>
  </si>
  <si>
    <t>胡德红</t>
  </si>
  <si>
    <t>15030641006</t>
  </si>
  <si>
    <t>6313730032206230009387</t>
  </si>
  <si>
    <t>钱平行</t>
  </si>
  <si>
    <t>13931610718</t>
  </si>
  <si>
    <t>6313730032206230009503</t>
  </si>
  <si>
    <t>许沁芳</t>
  </si>
  <si>
    <t>13515310170</t>
  </si>
  <si>
    <t>6313730032206230008851</t>
  </si>
  <si>
    <t>詹伟文</t>
  </si>
  <si>
    <t>13845553658</t>
  </si>
  <si>
    <t>6313730032206230008779</t>
  </si>
  <si>
    <t>13613165469</t>
  </si>
  <si>
    <t>6313730032206230008780</t>
  </si>
  <si>
    <t>段姣娥</t>
  </si>
  <si>
    <t>17716587932</t>
  </si>
  <si>
    <t>6313730032206230008849</t>
  </si>
  <si>
    <t>童波</t>
  </si>
  <si>
    <t>15033897514</t>
  </si>
  <si>
    <t>6313730032206230008838</t>
  </si>
  <si>
    <t>雷美庆</t>
  </si>
  <si>
    <t>13483649610</t>
  </si>
  <si>
    <t>6313730032206230008866</t>
  </si>
  <si>
    <t>梅雨康</t>
  </si>
  <si>
    <t>15733130358</t>
  </si>
  <si>
    <t>6313730032206230007770</t>
  </si>
  <si>
    <t>刘俊军</t>
  </si>
  <si>
    <t>18522447551</t>
  </si>
  <si>
    <t>6313730032206230007789</t>
  </si>
  <si>
    <t>王平</t>
  </si>
  <si>
    <t>18755885155</t>
  </si>
  <si>
    <t>6313730032206230008102</t>
  </si>
  <si>
    <t>李应喜</t>
  </si>
  <si>
    <t>18663955404</t>
  </si>
  <si>
    <t>6313730032206230008119</t>
  </si>
  <si>
    <t>13955896785</t>
  </si>
  <si>
    <t>6313730032206230008122</t>
  </si>
  <si>
    <t>18096775588</t>
  </si>
  <si>
    <t>6313730032206230007919</t>
  </si>
  <si>
    <t>万正河</t>
  </si>
  <si>
    <t>18096767928</t>
  </si>
  <si>
    <t>6313730032206230007838</t>
  </si>
  <si>
    <t>朱天华</t>
  </si>
  <si>
    <t>15132616185</t>
  </si>
  <si>
    <t>6313730032206230009372</t>
  </si>
  <si>
    <t>田玲玲</t>
  </si>
  <si>
    <t>19855832071</t>
  </si>
  <si>
    <t>6313730032206230009383</t>
  </si>
  <si>
    <t>王莉</t>
  </si>
  <si>
    <t>13605580430</t>
  </si>
  <si>
    <t>6313730032206230009402</t>
  </si>
  <si>
    <t>郑兵</t>
  </si>
  <si>
    <t>18304927910</t>
  </si>
  <si>
    <t>6313730032206230009403</t>
  </si>
  <si>
    <t>19159863570</t>
  </si>
  <si>
    <t>6313730032206230008747</t>
  </si>
  <si>
    <t>陈超</t>
  </si>
  <si>
    <t>13810656288</t>
  </si>
  <si>
    <t>6313730032206230008877</t>
  </si>
  <si>
    <t>朱正红</t>
  </si>
  <si>
    <t>15305580380</t>
  </si>
  <si>
    <t>6313730032206230007870</t>
  </si>
  <si>
    <t>谢良伟</t>
  </si>
  <si>
    <t>18949072335</t>
  </si>
  <si>
    <t>6313730032206230007842</t>
  </si>
  <si>
    <t>郭道富</t>
  </si>
  <si>
    <t>17356924227</t>
  </si>
  <si>
    <t>6313730032206230007796</t>
  </si>
  <si>
    <t>杨贤龙</t>
  </si>
  <si>
    <t>13605588852</t>
  </si>
  <si>
    <t>6313730032206230007662</t>
  </si>
  <si>
    <t>熊波</t>
  </si>
  <si>
    <t>18610279142</t>
  </si>
  <si>
    <t>6313730032206230007757</t>
  </si>
  <si>
    <t>陈燕</t>
  </si>
  <si>
    <t>18301550733</t>
  </si>
  <si>
    <t>6313730032206230009524</t>
  </si>
  <si>
    <t>王漫丽</t>
  </si>
  <si>
    <t>13718867571</t>
  </si>
  <si>
    <t>6313730032206230009452</t>
  </si>
  <si>
    <t>陆蓉</t>
  </si>
  <si>
    <t>18305583963</t>
  </si>
  <si>
    <t>6313730032206230009296</t>
  </si>
  <si>
    <t>蔡梦婷</t>
  </si>
  <si>
    <t>13966541390</t>
  </si>
  <si>
    <t>6313730032206230009189</t>
  </si>
  <si>
    <t>曹晓波</t>
  </si>
  <si>
    <t>18226261994</t>
  </si>
  <si>
    <t>6313730032206230009481</t>
  </si>
  <si>
    <t>陈寒月</t>
  </si>
  <si>
    <t>18611819009</t>
  </si>
  <si>
    <t>6313730032206230009466</t>
  </si>
  <si>
    <t>倪友政</t>
  </si>
  <si>
    <t>15530614700</t>
  </si>
  <si>
    <t>6313730032206230009357</t>
  </si>
  <si>
    <t>黄远征</t>
  </si>
  <si>
    <t>18010964933</t>
  </si>
  <si>
    <t>6313730032206230009434</t>
  </si>
  <si>
    <t>汤瑞佳</t>
  </si>
  <si>
    <t>13705583367</t>
  </si>
  <si>
    <t>6313730032206230008565</t>
  </si>
  <si>
    <t>梅玲</t>
  </si>
  <si>
    <t>13681384502</t>
  </si>
  <si>
    <t>6313730032206230008469</t>
  </si>
  <si>
    <t>蔡飞飞</t>
  </si>
  <si>
    <t>18305587991</t>
  </si>
  <si>
    <t>6313730032206230008641</t>
  </si>
  <si>
    <t>陈亚运</t>
  </si>
  <si>
    <t>13933937717</t>
  </si>
  <si>
    <t>6313730032206230008608</t>
  </si>
  <si>
    <t>邱庆亚</t>
  </si>
  <si>
    <t>13161841221</t>
  </si>
  <si>
    <t>6313730032206230007734</t>
  </si>
  <si>
    <t>张远高</t>
  </si>
  <si>
    <t>15531678580</t>
  </si>
  <si>
    <t>6313730032206230007646</t>
  </si>
  <si>
    <t>李春</t>
  </si>
  <si>
    <t>15128693668</t>
  </si>
  <si>
    <t>6313730032206230007718</t>
  </si>
  <si>
    <t>周鹏</t>
  </si>
  <si>
    <t>17732625358</t>
  </si>
  <si>
    <t>6313730032206230007720</t>
  </si>
  <si>
    <t>胡晓盼</t>
  </si>
  <si>
    <t>15933663798</t>
  </si>
  <si>
    <t>6313730032206230007640</t>
  </si>
  <si>
    <t>熊彩虹</t>
  </si>
  <si>
    <t>13718246897</t>
  </si>
  <si>
    <t>6313730032206230007751</t>
  </si>
  <si>
    <t>朱继颖</t>
  </si>
  <si>
    <t>13383168207</t>
  </si>
  <si>
    <t>6313730032206230007685</t>
  </si>
  <si>
    <t>蔡正丽</t>
  </si>
  <si>
    <t>18633602208</t>
  </si>
  <si>
    <t>6313730032206230008970</t>
  </si>
  <si>
    <t>黄华义</t>
  </si>
  <si>
    <t>13663164647</t>
  </si>
  <si>
    <t>6313730032206230009218</t>
  </si>
  <si>
    <t>张兴农</t>
  </si>
  <si>
    <t>17755822239</t>
  </si>
  <si>
    <t>6313730032206230009053</t>
  </si>
  <si>
    <t>陈霞</t>
  </si>
  <si>
    <t>13966800091</t>
  </si>
  <si>
    <t>6313730032206230009074</t>
  </si>
  <si>
    <t>崔艾鸣</t>
  </si>
  <si>
    <t>13603162952</t>
  </si>
  <si>
    <t>6313730032206230009437</t>
  </si>
  <si>
    <t>张焱</t>
  </si>
  <si>
    <t>15831619494</t>
  </si>
  <si>
    <t>6313730032206230009508</t>
  </si>
  <si>
    <t>杨汉文</t>
  </si>
  <si>
    <t>13103261450</t>
  </si>
  <si>
    <t>6313730032206230008616</t>
  </si>
  <si>
    <t>成燕</t>
  </si>
  <si>
    <t>13930639052</t>
  </si>
  <si>
    <t>6313730032206230007755</t>
  </si>
  <si>
    <t>郭丽</t>
  </si>
  <si>
    <t>13403162446</t>
  </si>
  <si>
    <t>6313730032206230007760</t>
  </si>
  <si>
    <t>陈雪梅</t>
  </si>
  <si>
    <t>18732309265</t>
  </si>
  <si>
    <t>6313730032206230007659</t>
  </si>
  <si>
    <t>唐蓉</t>
  </si>
  <si>
    <t>15903268851</t>
  </si>
  <si>
    <t>6313730032206230007643</t>
  </si>
  <si>
    <t>王佳</t>
  </si>
  <si>
    <t>17310158613</t>
  </si>
  <si>
    <t>6313730032220230000032</t>
  </si>
  <si>
    <t>荆州市沙市区新加坡城·国际幼儿园</t>
  </si>
  <si>
    <t>13911817530</t>
  </si>
  <si>
    <t>6313730032206230008864</t>
  </si>
  <si>
    <t>唐军</t>
  </si>
  <si>
    <t>13672159606</t>
  </si>
  <si>
    <t>6313730032206230008740</t>
  </si>
  <si>
    <t>万巧</t>
  </si>
  <si>
    <t>18920148369</t>
  </si>
  <si>
    <t>6313730032206230008742</t>
  </si>
  <si>
    <t>朱翠红</t>
  </si>
  <si>
    <t>15522255761</t>
  </si>
  <si>
    <t>6313730032206230008643</t>
  </si>
  <si>
    <t>陆家荣</t>
  </si>
  <si>
    <t>18156893507</t>
  </si>
  <si>
    <t>6313730032206230008366</t>
  </si>
  <si>
    <t>周东英</t>
  </si>
  <si>
    <t>15357603033</t>
  </si>
  <si>
    <t>6313730032206230009056</t>
  </si>
  <si>
    <t>万晓锋</t>
  </si>
  <si>
    <t>18755889427</t>
  </si>
  <si>
    <t>6313730032206230009042</t>
  </si>
  <si>
    <t>尚金荣</t>
  </si>
  <si>
    <t>15556581820</t>
  </si>
  <si>
    <t>6313730032206230008691</t>
  </si>
  <si>
    <t>孟祥云</t>
  </si>
  <si>
    <t>15155848585</t>
  </si>
  <si>
    <t>6313730032206230008450</t>
  </si>
  <si>
    <t>胡爱珍</t>
  </si>
  <si>
    <t>13955844417</t>
  </si>
  <si>
    <t>6313730032206230009441</t>
  </si>
  <si>
    <t>梁小雪</t>
  </si>
  <si>
    <t>15256819977</t>
  </si>
  <si>
    <t>6313730032206230009427</t>
  </si>
  <si>
    <t>毛光磊</t>
  </si>
  <si>
    <t>18630418727</t>
  </si>
  <si>
    <t>6313730032206230009353</t>
  </si>
  <si>
    <t>邹元兴</t>
  </si>
  <si>
    <t>18955878881</t>
  </si>
  <si>
    <t>6313730032206230008688</t>
  </si>
  <si>
    <t>鄢晓莹</t>
  </si>
  <si>
    <t>13965746433</t>
  </si>
  <si>
    <t>6313730032206230008609</t>
  </si>
  <si>
    <t>程欣怡</t>
  </si>
  <si>
    <t>17736750925</t>
  </si>
  <si>
    <t>6313730032206230008600</t>
  </si>
  <si>
    <t>周苑</t>
  </si>
  <si>
    <t>15055890269</t>
  </si>
  <si>
    <t>6313730032206230007671</t>
  </si>
  <si>
    <t>舒丽萍</t>
  </si>
  <si>
    <t>17681177791</t>
  </si>
  <si>
    <t>6313730032206230007675</t>
  </si>
  <si>
    <t>叶小虎</t>
  </si>
  <si>
    <t>13903261661</t>
  </si>
  <si>
    <t>6313730032206230007690</t>
  </si>
  <si>
    <t>柳晓辉</t>
  </si>
  <si>
    <t>13552927386</t>
  </si>
  <si>
    <t>6313730032206230007652</t>
  </si>
  <si>
    <t>李仁民</t>
  </si>
  <si>
    <t>17396859019</t>
  </si>
  <si>
    <t>6313730032206230007678</t>
  </si>
  <si>
    <t>邹军</t>
  </si>
  <si>
    <t>13955883463</t>
  </si>
  <si>
    <t>6313730032206230007608</t>
  </si>
  <si>
    <t>刘玮</t>
  </si>
  <si>
    <t>13683234618</t>
  </si>
  <si>
    <t>6313730032206230007610</t>
  </si>
  <si>
    <t>肖频</t>
  </si>
  <si>
    <t>13751018576</t>
  </si>
  <si>
    <t>6313730032206230007724</t>
  </si>
  <si>
    <t>刘先全</t>
  </si>
  <si>
    <t>13758141864</t>
  </si>
  <si>
    <t>6313730032206230007861</t>
  </si>
  <si>
    <t>李艳萍</t>
  </si>
  <si>
    <t>13865891966</t>
  </si>
  <si>
    <t>6313730032206230007907</t>
  </si>
  <si>
    <t>余家莉</t>
  </si>
  <si>
    <t>13855859768</t>
  </si>
  <si>
    <t>6313730032206230009335</t>
  </si>
  <si>
    <t>张顺婷</t>
  </si>
  <si>
    <t>13127548388</t>
  </si>
  <si>
    <t>6313730032206230008619</t>
  </si>
  <si>
    <t>唐莉</t>
  </si>
  <si>
    <t>18712695809</t>
  </si>
  <si>
    <t>6313730032206230008446</t>
  </si>
  <si>
    <t>刘继军</t>
  </si>
  <si>
    <t>15955876709</t>
  </si>
  <si>
    <t>6313730032206230008650</t>
  </si>
  <si>
    <t>陈彤</t>
  </si>
  <si>
    <t>19955840750</t>
  </si>
  <si>
    <t>6313730032206230008531</t>
  </si>
  <si>
    <t>李平英</t>
  </si>
  <si>
    <t>13803161231</t>
  </si>
  <si>
    <t>6313730032206230008655</t>
  </si>
  <si>
    <t>龙立民</t>
  </si>
  <si>
    <t>13811193642</t>
  </si>
  <si>
    <t>6313730032206230009280</t>
  </si>
  <si>
    <t>付孝鹏</t>
  </si>
  <si>
    <t>13717887313</t>
  </si>
  <si>
    <t>6313730032206230009279</t>
  </si>
  <si>
    <t>郭中清</t>
  </si>
  <si>
    <t>15375586768</t>
  </si>
  <si>
    <t>6313730032206230009333</t>
  </si>
  <si>
    <t>15956839888</t>
  </si>
  <si>
    <t>6313730032206230009332</t>
  </si>
  <si>
    <t>张蓉</t>
  </si>
  <si>
    <t>18502257700</t>
  </si>
  <si>
    <t>6313730032206230009108</t>
  </si>
  <si>
    <t>向妮</t>
  </si>
  <si>
    <t>18665066096</t>
  </si>
  <si>
    <t>6313730032206230008663</t>
  </si>
  <si>
    <t>赵利平</t>
  </si>
  <si>
    <t>15955887167</t>
  </si>
  <si>
    <t>6313730032206230008483</t>
  </si>
  <si>
    <t>柳萍芳</t>
  </si>
  <si>
    <t>18756838073</t>
  </si>
  <si>
    <t>6313730032206230008596</t>
  </si>
  <si>
    <t>彭丙海</t>
  </si>
  <si>
    <t>13955836750</t>
  </si>
  <si>
    <t>6313730032206230008649</t>
  </si>
  <si>
    <t>廖小平</t>
  </si>
  <si>
    <t>13966547005</t>
  </si>
  <si>
    <t>6313730032206230008537</t>
  </si>
  <si>
    <t>刘虹</t>
  </si>
  <si>
    <t>15385825001</t>
  </si>
  <si>
    <t>6313730032206230008692</t>
  </si>
  <si>
    <t>马玉梅</t>
  </si>
  <si>
    <t>18656878096</t>
  </si>
  <si>
    <t>6313730032206230007585</t>
  </si>
  <si>
    <t>李海峰</t>
  </si>
  <si>
    <t>13053199097</t>
  </si>
  <si>
    <t>6313730032206230007502</t>
  </si>
  <si>
    <t>王从发</t>
  </si>
  <si>
    <t>18056978717</t>
  </si>
  <si>
    <t>6313730032206230007582</t>
  </si>
  <si>
    <t>赵燕燕</t>
  </si>
  <si>
    <t>18226370956</t>
  </si>
  <si>
    <t>6313730032206230007497</t>
  </si>
  <si>
    <t>张强勇</t>
  </si>
  <si>
    <t>15831602806</t>
  </si>
  <si>
    <t>6313730032206230007486</t>
  </si>
  <si>
    <t>孙振华</t>
  </si>
  <si>
    <t>13521215688</t>
  </si>
  <si>
    <t>6313730032206230007484</t>
  </si>
  <si>
    <t>易树华</t>
  </si>
  <si>
    <t>18226264008</t>
  </si>
  <si>
    <t>6313730032206230007593</t>
  </si>
  <si>
    <t>石崎</t>
  </si>
  <si>
    <t>17856169883</t>
  </si>
  <si>
    <t>6313730032206230008439</t>
  </si>
  <si>
    <t>杨平</t>
  </si>
  <si>
    <t>18856887682</t>
  </si>
  <si>
    <t>6313730032206230008668</t>
  </si>
  <si>
    <t>谢淑娟</t>
  </si>
  <si>
    <t>15932621506</t>
  </si>
  <si>
    <t>6313730032206230008256</t>
  </si>
  <si>
    <t>张盟盟</t>
  </si>
  <si>
    <t>18255813130</t>
  </si>
  <si>
    <t>6313730032206230008369</t>
  </si>
  <si>
    <t>胡祖生</t>
  </si>
  <si>
    <t>18033696096</t>
  </si>
  <si>
    <t>6313730032206230009088</t>
  </si>
  <si>
    <t>谢红</t>
  </si>
  <si>
    <t>18731539386</t>
  </si>
  <si>
    <t>6313730032206230009264</t>
  </si>
  <si>
    <t>陈梦圆</t>
  </si>
  <si>
    <t>17733678777</t>
  </si>
  <si>
    <t>6313730032206230009166</t>
  </si>
  <si>
    <t>王耀武</t>
  </si>
  <si>
    <t>15255889711</t>
  </si>
  <si>
    <t>6313730032206230009192</t>
  </si>
  <si>
    <t>荣丽明</t>
  </si>
  <si>
    <t>13819068449</t>
  </si>
  <si>
    <t>6313730032206230009243</t>
  </si>
  <si>
    <t>胡国华</t>
  </si>
  <si>
    <t>13681695619</t>
  </si>
  <si>
    <t>6313730032206230009244</t>
  </si>
  <si>
    <t>朱有文</t>
  </si>
  <si>
    <t>18100826281</t>
  </si>
  <si>
    <t>6313730032206230009223</t>
  </si>
  <si>
    <t>来诗雨</t>
  </si>
  <si>
    <t>13801183381</t>
  </si>
  <si>
    <t>6313730032206230008477</t>
  </si>
  <si>
    <t>17310656589</t>
  </si>
  <si>
    <t>6313730032206230008648</t>
  </si>
  <si>
    <t>徐丹</t>
  </si>
  <si>
    <t>13581705218</t>
  </si>
  <si>
    <t>6313730032206230008570</t>
  </si>
  <si>
    <t>鲍达章</t>
  </si>
  <si>
    <t>15810998031</t>
  </si>
  <si>
    <t>6313730032206230008674</t>
  </si>
  <si>
    <t>周家保</t>
  </si>
  <si>
    <t>13611380324</t>
  </si>
  <si>
    <t>6313730032206230008464</t>
  </si>
  <si>
    <t>邓灰菊</t>
  </si>
  <si>
    <t>15100701060</t>
  </si>
  <si>
    <t>6313730032206230007551</t>
  </si>
  <si>
    <t>18325819667</t>
  </si>
  <si>
    <t>6313730032206230007545</t>
  </si>
  <si>
    <t>薛章华</t>
  </si>
  <si>
    <t>18155886767</t>
  </si>
  <si>
    <t>6313730032206230008257</t>
  </si>
  <si>
    <t>任萍</t>
  </si>
  <si>
    <t>18519121024</t>
  </si>
  <si>
    <t>6313730032206230007731</t>
  </si>
  <si>
    <t>郭红艳</t>
  </si>
  <si>
    <t>15556786666</t>
  </si>
  <si>
    <t>6313730032206230007586</t>
  </si>
  <si>
    <t>吕旺</t>
  </si>
  <si>
    <t>13312092949</t>
  </si>
  <si>
    <t>6313730032206230007472</t>
  </si>
  <si>
    <t>陈春明</t>
  </si>
  <si>
    <t>18055886818</t>
  </si>
  <si>
    <t>6313730032206230008930</t>
  </si>
  <si>
    <t>甘雯</t>
  </si>
  <si>
    <t>6313730032206230008432</t>
  </si>
  <si>
    <t>陈彩虹</t>
  </si>
  <si>
    <t>13701112282</t>
  </si>
  <si>
    <t>6313730032206230008379</t>
  </si>
  <si>
    <t>定明和</t>
  </si>
  <si>
    <t>13085067630</t>
  </si>
  <si>
    <t>6313730032206230008396</t>
  </si>
  <si>
    <t>金志辉</t>
  </si>
  <si>
    <t>15905585287</t>
  </si>
  <si>
    <t>6313730032206230009231</t>
  </si>
  <si>
    <t>彭立志</t>
  </si>
  <si>
    <t>18856825901</t>
  </si>
  <si>
    <t>6313730032206230009317</t>
  </si>
  <si>
    <t>秦宏臣</t>
  </si>
  <si>
    <t>13943522566</t>
  </si>
  <si>
    <t>6313730032206230009312</t>
  </si>
  <si>
    <t>李梅</t>
  </si>
  <si>
    <t>13615587785</t>
  </si>
  <si>
    <t>6313730032206230009138</t>
  </si>
  <si>
    <t>杨启斌</t>
  </si>
  <si>
    <t>13605580713</t>
  </si>
  <si>
    <t>6313730032206230008571</t>
  </si>
  <si>
    <t>谢立立</t>
  </si>
  <si>
    <t>13552310669</t>
  </si>
  <si>
    <t>6313730032206230008315</t>
  </si>
  <si>
    <t>姚永琼</t>
  </si>
  <si>
    <t>15004436777</t>
  </si>
  <si>
    <t>6313730032206230007576</t>
  </si>
  <si>
    <t>龙威</t>
  </si>
  <si>
    <t>17600161623</t>
  </si>
  <si>
    <t>6313730032206230007601</t>
  </si>
  <si>
    <t>曾为尚</t>
  </si>
  <si>
    <t>13391681695</t>
  </si>
  <si>
    <t>6313730032206230007579</t>
  </si>
  <si>
    <t>段先金</t>
  </si>
  <si>
    <t>15031628773</t>
  </si>
  <si>
    <t>6313730032206230008356</t>
  </si>
  <si>
    <t>李金</t>
  </si>
  <si>
    <t>15255824886</t>
  </si>
  <si>
    <t>6313730032206230008270</t>
  </si>
  <si>
    <t>黎建宜</t>
  </si>
  <si>
    <t>15081690033</t>
  </si>
  <si>
    <t>6313730032206230009273</t>
  </si>
  <si>
    <t>易春香</t>
  </si>
  <si>
    <t>13552065009</t>
  </si>
  <si>
    <t>6313730032206230009301</t>
  </si>
  <si>
    <t>吴百乔</t>
  </si>
  <si>
    <t>15803363250</t>
  </si>
  <si>
    <t>6313730032206230009157</t>
  </si>
  <si>
    <t>钱程</t>
  </si>
  <si>
    <t>13683607591</t>
  </si>
  <si>
    <t>6313730032206230009111</t>
  </si>
  <si>
    <t>魏双双</t>
  </si>
  <si>
    <t>13933937913</t>
  </si>
  <si>
    <t>6313730032206230009169</t>
  </si>
  <si>
    <t>朱劲松</t>
  </si>
  <si>
    <t>13955807237</t>
  </si>
  <si>
    <t>6313730032206230009253</t>
  </si>
  <si>
    <t>唐三元</t>
  </si>
  <si>
    <t>19356870291</t>
  </si>
  <si>
    <t>6313730032206230009215</t>
  </si>
  <si>
    <t>张重阳</t>
  </si>
  <si>
    <t>18156867874</t>
  </si>
  <si>
    <t>6313730032206230008208</t>
  </si>
  <si>
    <t>蒋仁信</t>
  </si>
  <si>
    <t>17301317576</t>
  </si>
  <si>
    <t>6313730032206230008258</t>
  </si>
  <si>
    <t>张红艳</t>
  </si>
  <si>
    <t>15931643832</t>
  </si>
  <si>
    <t>6313730032206230008216</t>
  </si>
  <si>
    <t>钟青山</t>
  </si>
  <si>
    <t>13858943595</t>
  </si>
  <si>
    <t>6313730032206230007464</t>
  </si>
  <si>
    <t>袁大标</t>
  </si>
  <si>
    <t>13866242320</t>
  </si>
  <si>
    <t>6313730032206230007456</t>
  </si>
  <si>
    <t>龚本桂</t>
  </si>
  <si>
    <t>18096779306</t>
  </si>
  <si>
    <t>6313730032206230007474</t>
  </si>
  <si>
    <t>万方涛</t>
  </si>
  <si>
    <t>15956847962</t>
  </si>
  <si>
    <t>6313730032206230007449</t>
  </si>
  <si>
    <t>彭方则</t>
  </si>
  <si>
    <t>13663269456</t>
  </si>
  <si>
    <t>6313730032206230007442</t>
  </si>
  <si>
    <t>王勤超</t>
  </si>
  <si>
    <t>18226860907</t>
  </si>
  <si>
    <t>6313730032206230007470</t>
  </si>
  <si>
    <t>蒋杰</t>
  </si>
  <si>
    <t>18726547608</t>
  </si>
  <si>
    <t>6313730032206230007978</t>
  </si>
  <si>
    <t>汪芝城</t>
  </si>
  <si>
    <t>18131612258</t>
  </si>
  <si>
    <t>6313730032206230008030</t>
  </si>
  <si>
    <t>张梅</t>
  </si>
  <si>
    <t>15011361135</t>
  </si>
  <si>
    <t>6313730032206230009101</t>
  </si>
  <si>
    <t>熊衍红</t>
  </si>
  <si>
    <t>19844867897</t>
  </si>
  <si>
    <t>6313730032206230009238</t>
  </si>
  <si>
    <t>朱金香</t>
  </si>
  <si>
    <t>13931610814</t>
  </si>
  <si>
    <t>6313730032206230008280</t>
  </si>
  <si>
    <t>王明</t>
  </si>
  <si>
    <t>18110572131</t>
  </si>
  <si>
    <t>6313730032206230008284</t>
  </si>
  <si>
    <t>余长良</t>
  </si>
  <si>
    <t>15249800033</t>
  </si>
  <si>
    <t>6313730032206230008428</t>
  </si>
  <si>
    <t>刘小琳</t>
  </si>
  <si>
    <t>17556866655</t>
  </si>
  <si>
    <t>6313730032206230008241</t>
  </si>
  <si>
    <t>洪梅</t>
  </si>
  <si>
    <t>18211135258</t>
  </si>
  <si>
    <t>6313730032206230009554</t>
  </si>
  <si>
    <t>13223211988</t>
  </si>
  <si>
    <t>6313730032206230009456</t>
  </si>
  <si>
    <t>李文辉</t>
  </si>
  <si>
    <t>13947955738</t>
  </si>
  <si>
    <t>6313730032206230009110</t>
  </si>
  <si>
    <t>黄军</t>
  </si>
  <si>
    <t>15395583343</t>
  </si>
  <si>
    <t>6313730032206230009292</t>
  </si>
  <si>
    <t>陈小霞</t>
  </si>
  <si>
    <t>18259000076</t>
  </si>
  <si>
    <t>6313730032206230008090</t>
  </si>
  <si>
    <t>张毅</t>
  </si>
  <si>
    <t>13810101379</t>
  </si>
  <si>
    <t>6313730032206230008087</t>
  </si>
  <si>
    <t>陈华平</t>
  </si>
  <si>
    <t>15726662760</t>
  </si>
  <si>
    <t>6313730032206230008045</t>
  </si>
  <si>
    <t>谢龙</t>
  </si>
  <si>
    <t>18844996604</t>
  </si>
  <si>
    <t>6313730032206230009135</t>
  </si>
  <si>
    <t>陈兰</t>
  </si>
  <si>
    <t>13295589261</t>
  </si>
  <si>
    <t>6313730032206230009033</t>
  </si>
  <si>
    <t>郑家华</t>
  </si>
  <si>
    <t>18855803245</t>
  </si>
  <si>
    <t>6313730032206230008248</t>
  </si>
  <si>
    <t>邹运茂</t>
  </si>
  <si>
    <t>13332060633</t>
  </si>
  <si>
    <t>6313730032206230008023</t>
  </si>
  <si>
    <t>周照银</t>
  </si>
  <si>
    <t>18895519675</t>
  </si>
  <si>
    <t>6313730032206230008043</t>
  </si>
  <si>
    <t>关天志</t>
  </si>
  <si>
    <t>13633261407</t>
  </si>
  <si>
    <t>6313730032206230009288</t>
  </si>
  <si>
    <t>秦纯杰</t>
  </si>
  <si>
    <t>13514924290</t>
  </si>
  <si>
    <t>6313730032206230009287</t>
  </si>
  <si>
    <t>赵天强</t>
  </si>
  <si>
    <t>15375133530</t>
  </si>
  <si>
    <t>6313730032206230009158</t>
  </si>
  <si>
    <t>赵振桃</t>
  </si>
  <si>
    <t>13622072706</t>
  </si>
  <si>
    <t>6313730032206230009260</t>
  </si>
  <si>
    <t>吴锐</t>
  </si>
  <si>
    <t>13833627258</t>
  </si>
  <si>
    <t>6313730032206230008192</t>
  </si>
  <si>
    <t>李兰</t>
  </si>
  <si>
    <t>13780266808</t>
  </si>
  <si>
    <t>6313730032206230008115</t>
  </si>
  <si>
    <t>吴玮</t>
  </si>
  <si>
    <t>13241301954</t>
  </si>
  <si>
    <t>6313730032206230007998</t>
  </si>
  <si>
    <t>宋沙</t>
  </si>
  <si>
    <t>13661268297</t>
  </si>
  <si>
    <t>6313730032206230008117</t>
  </si>
  <si>
    <t>冯海燕</t>
  </si>
  <si>
    <t>15127685188</t>
  </si>
  <si>
    <t>6313730032206230008946</t>
  </si>
  <si>
    <t>朱飞</t>
  </si>
  <si>
    <t>15226668456</t>
  </si>
  <si>
    <t>6313730032206230009071</t>
  </si>
  <si>
    <t>陈登良</t>
  </si>
  <si>
    <t>18911559090</t>
  </si>
  <si>
    <t>6313730032206230008955</t>
  </si>
  <si>
    <t>唐敦武</t>
  </si>
  <si>
    <t>13635588654</t>
  </si>
  <si>
    <t>6313730032206230009002</t>
  </si>
  <si>
    <t>刘丹</t>
  </si>
  <si>
    <t>18257665217</t>
  </si>
  <si>
    <t>6313730032206230009004</t>
  </si>
  <si>
    <t>杨夕蓉</t>
  </si>
  <si>
    <t>18732626099</t>
  </si>
  <si>
    <t>6313730032206230007972</t>
  </si>
  <si>
    <t>姜传敏</t>
  </si>
  <si>
    <t>13311397284</t>
  </si>
  <si>
    <t>6313730032206230007986</t>
  </si>
  <si>
    <t>伍贤琴</t>
  </si>
  <si>
    <t>18131625381</t>
  </si>
  <si>
    <t>6313730032206230008142</t>
  </si>
  <si>
    <t>严菊林</t>
  </si>
  <si>
    <t>13681287226</t>
  </si>
  <si>
    <t>6313730032206230009190</t>
  </si>
  <si>
    <t>高长海</t>
  </si>
  <si>
    <t>13691156390</t>
  </si>
  <si>
    <t>6313730032206230008086</t>
  </si>
  <si>
    <t>张茂华</t>
  </si>
  <si>
    <t>18531819853</t>
  </si>
  <si>
    <t>6313730032206230007809</t>
  </si>
  <si>
    <t>刘光兰</t>
  </si>
  <si>
    <t>18725582260</t>
  </si>
  <si>
    <t>6313730032206230007918</t>
  </si>
  <si>
    <t>李鹏</t>
  </si>
  <si>
    <t>15156678221</t>
  </si>
  <si>
    <t>6313730032206230009019</t>
  </si>
  <si>
    <t>胡军</t>
  </si>
  <si>
    <t>13515677846</t>
  </si>
  <si>
    <t>6313730032206230009025</t>
  </si>
  <si>
    <t>布冠绣</t>
  </si>
  <si>
    <t>18362357667</t>
  </si>
  <si>
    <t>6313730032206230008963</t>
  </si>
  <si>
    <t>王晓燕</t>
  </si>
  <si>
    <t>13393168793</t>
  </si>
  <si>
    <t>6313730032206230007985</t>
  </si>
  <si>
    <t>冯帮秀</t>
  </si>
  <si>
    <t>13615580296</t>
  </si>
  <si>
    <t>6313730032206230008162</t>
  </si>
  <si>
    <t>许德志</t>
  </si>
  <si>
    <t>18133193909</t>
  </si>
  <si>
    <t>6313730032206230008014</t>
  </si>
  <si>
    <t>王勇</t>
  </si>
  <si>
    <t>15855800321</t>
  </si>
  <si>
    <t>6313730032206230008036</t>
  </si>
  <si>
    <t>贺慧</t>
  </si>
  <si>
    <t>13966551120</t>
  </si>
  <si>
    <t>6313730032206230008019</t>
  </si>
  <si>
    <t>张国祥</t>
  </si>
  <si>
    <t>13395585678</t>
  </si>
  <si>
    <t>6313730032206230008171</t>
  </si>
  <si>
    <t>聂红梅</t>
  </si>
  <si>
    <t>18155890808</t>
  </si>
  <si>
    <t>6313730032206230007969</t>
  </si>
  <si>
    <t>李江</t>
  </si>
  <si>
    <t>18456012229</t>
  </si>
  <si>
    <t>6313730032206230007977</t>
  </si>
  <si>
    <t>周良全</t>
  </si>
  <si>
    <t>13693208396</t>
  </si>
  <si>
    <t>6313730032206230008165</t>
  </si>
  <si>
    <t>刘定辉</t>
  </si>
  <si>
    <t>13867941831</t>
  </si>
  <si>
    <t>6313730032206230008976</t>
  </si>
  <si>
    <t>吴红桥</t>
  </si>
  <si>
    <t>13665589271</t>
  </si>
  <si>
    <t>6313730032206230008977</t>
  </si>
  <si>
    <t>夏景风</t>
  </si>
  <si>
    <t>18109682562</t>
  </si>
  <si>
    <t>6313730032206230008997</t>
  </si>
  <si>
    <t>朱诗祥</t>
  </si>
  <si>
    <t>15955896423</t>
  </si>
  <si>
    <t>6313730032206230009020</t>
  </si>
  <si>
    <t>聂南南</t>
  </si>
  <si>
    <t>15055896383</t>
  </si>
  <si>
    <t>6313730032206230008915</t>
  </si>
  <si>
    <t>王琴</t>
  </si>
  <si>
    <t>18255063287</t>
  </si>
  <si>
    <t>6313730032206230008969</t>
  </si>
  <si>
    <t>朱燕</t>
  </si>
  <si>
    <t>18105686600</t>
  </si>
  <si>
    <t>6313730032206230007822</t>
  </si>
  <si>
    <t>顿雪庆</t>
  </si>
  <si>
    <t>13820995067</t>
  </si>
  <si>
    <t>6313730032206230007625</t>
  </si>
  <si>
    <t>裴红芳</t>
  </si>
  <si>
    <t>13335588963</t>
  </si>
  <si>
    <t>6313730032206230007714</t>
  </si>
  <si>
    <t>熊艳艳</t>
  </si>
  <si>
    <t>15555896200</t>
  </si>
  <si>
    <t>6313730032206230007642</t>
  </si>
  <si>
    <t>左正涛</t>
  </si>
  <si>
    <t>13463600093</t>
  </si>
  <si>
    <t>6313730032206230008940</t>
  </si>
  <si>
    <t>丁勇军</t>
  </si>
  <si>
    <t>13855895551</t>
  </si>
  <si>
    <t>6313730032206230008965</t>
  </si>
  <si>
    <t>李新桥</t>
  </si>
  <si>
    <t>13855840037</t>
  </si>
  <si>
    <t>6313730032206230008899</t>
  </si>
  <si>
    <t>谭素芬</t>
  </si>
  <si>
    <t>15803363230</t>
  </si>
  <si>
    <t>6313730032206230008000</t>
  </si>
  <si>
    <t>苏又琴</t>
  </si>
  <si>
    <t>13785649351</t>
  </si>
  <si>
    <t>6313730032206230008749</t>
  </si>
  <si>
    <t>邹云</t>
  </si>
  <si>
    <t>18942665709</t>
  </si>
  <si>
    <t>6313730032206230008784</t>
  </si>
  <si>
    <t>唐昌琼</t>
  </si>
  <si>
    <t>15932648458</t>
  </si>
  <si>
    <t>6313730032206230008846</t>
  </si>
  <si>
    <t>周同方</t>
  </si>
  <si>
    <t>15081462754</t>
  </si>
  <si>
    <t>6313730032206230007746</t>
  </si>
  <si>
    <t>15155800137</t>
  </si>
  <si>
    <t>6313730032206230007508</t>
  </si>
  <si>
    <t>李先翠</t>
  </si>
  <si>
    <t>13031800806</t>
  </si>
  <si>
    <t>6313730032206230007490</t>
  </si>
  <si>
    <t>18600283111</t>
  </si>
  <si>
    <t>6313730032206230007602</t>
  </si>
  <si>
    <t>朱利波</t>
  </si>
  <si>
    <t>13930620175</t>
  </si>
  <si>
    <t>6313730032206230007488</t>
  </si>
  <si>
    <t>13847218872</t>
  </si>
  <si>
    <t>6313730032206230008734</t>
  </si>
  <si>
    <t>邓伏蓉</t>
  </si>
  <si>
    <t>6313730032206230008822</t>
  </si>
  <si>
    <t>18600890302</t>
  </si>
  <si>
    <t>6313730032206230008803</t>
  </si>
  <si>
    <t>刘姣兰</t>
  </si>
  <si>
    <t>13633262493</t>
  </si>
  <si>
    <t>6313730032206230007804</t>
  </si>
  <si>
    <t>李尊兵</t>
  </si>
  <si>
    <t>18324804849</t>
  </si>
  <si>
    <t>6313730032206230007805</t>
  </si>
  <si>
    <t>皮定鼎</t>
  </si>
  <si>
    <t>15349888649</t>
  </si>
  <si>
    <t>6313730032206230007814</t>
  </si>
  <si>
    <t>薛陈</t>
  </si>
  <si>
    <t>15055584644</t>
  </si>
  <si>
    <t>6313730032206230007899</t>
  </si>
  <si>
    <t>李丽</t>
  </si>
  <si>
    <t>18226235571</t>
  </si>
  <si>
    <t>6313730032206230007820</t>
  </si>
  <si>
    <t>许启明</t>
  </si>
  <si>
    <t>13955893483</t>
  </si>
  <si>
    <t>6313730032206230007890</t>
  </si>
  <si>
    <t>刘贝贝</t>
  </si>
  <si>
    <t>15158291778</t>
  </si>
  <si>
    <t>6313730032206230007888</t>
  </si>
  <si>
    <t>孙双林</t>
  </si>
  <si>
    <t>13515572790</t>
  </si>
  <si>
    <t>6313730032206230007901</t>
  </si>
  <si>
    <t>李双喜</t>
  </si>
  <si>
    <t>13866279028</t>
  </si>
  <si>
    <t>6313730032206230007779</t>
  </si>
  <si>
    <t>王放</t>
  </si>
  <si>
    <t>18321592643</t>
  </si>
  <si>
    <t>6313730032206230007432</t>
  </si>
  <si>
    <t>陈从睿</t>
  </si>
  <si>
    <t>17556803097</t>
  </si>
  <si>
    <t>6313730032206230009535</t>
  </si>
  <si>
    <t>蔡文</t>
  </si>
  <si>
    <t>19159933950</t>
  </si>
  <si>
    <t>6313730032206230009555</t>
  </si>
  <si>
    <t>雷达</t>
  </si>
  <si>
    <t>18298193708</t>
  </si>
  <si>
    <t>6313730032206230008810</t>
  </si>
  <si>
    <t>陈凤</t>
  </si>
  <si>
    <t>15205683951</t>
  </si>
  <si>
    <t>6313730032206230008875</t>
  </si>
  <si>
    <t>郑家康</t>
  </si>
  <si>
    <t>15097609758</t>
  </si>
  <si>
    <t>6313730032206230008762</t>
  </si>
  <si>
    <t>徐丽</t>
  </si>
  <si>
    <t>13784818191</t>
  </si>
  <si>
    <t>6313730032206230008732</t>
  </si>
  <si>
    <t>李景康</t>
  </si>
  <si>
    <t>13731613381</t>
  </si>
  <si>
    <t>6313730032206230007868</t>
  </si>
  <si>
    <t>董恕</t>
  </si>
  <si>
    <t>18305580810</t>
  </si>
  <si>
    <t>6313730032206230007909</t>
  </si>
  <si>
    <t>王凡</t>
  </si>
  <si>
    <t>18130745864</t>
  </si>
  <si>
    <t>6313730032206230007938</t>
  </si>
  <si>
    <t>林德虎</t>
  </si>
  <si>
    <t>15055545793</t>
  </si>
  <si>
    <t>6313730032206230007942</t>
  </si>
  <si>
    <t>李正芬</t>
  </si>
  <si>
    <t>13855883685</t>
  </si>
  <si>
    <t>6313730032206230007945</t>
  </si>
  <si>
    <t>杨关金</t>
  </si>
  <si>
    <t>18033608328</t>
  </si>
  <si>
    <t>6313730032206230007946</t>
  </si>
  <si>
    <t>易少洪</t>
  </si>
  <si>
    <t>15081693754</t>
  </si>
  <si>
    <t>6313730032206230008389</t>
  </si>
  <si>
    <t>滕茜</t>
  </si>
  <si>
    <t>18325885620</t>
  </si>
  <si>
    <t>6313730032206230008412</t>
  </si>
  <si>
    <t>苏先蓉</t>
  </si>
  <si>
    <t>17755805621</t>
  </si>
  <si>
    <t>6313730032206230008105</t>
  </si>
  <si>
    <t>13785657120</t>
  </si>
  <si>
    <t>6313730032206230009560</t>
  </si>
  <si>
    <t>宋军</t>
  </si>
  <si>
    <t>13855873133</t>
  </si>
  <si>
    <t>6313730032206230009540</t>
  </si>
  <si>
    <t>晏燕</t>
  </si>
  <si>
    <t>13515583582</t>
  </si>
  <si>
    <t>6313730032206230009521</t>
  </si>
  <si>
    <t>郑训文</t>
  </si>
  <si>
    <t>17755883190</t>
  </si>
  <si>
    <t>6313730032206230008768</t>
  </si>
  <si>
    <t>徐国娥</t>
  </si>
  <si>
    <t>18130785099</t>
  </si>
  <si>
    <t>6313730032206230008887</t>
  </si>
  <si>
    <t>刘小兵</t>
  </si>
  <si>
    <t>13930681597</t>
  </si>
  <si>
    <t>6313730032206230007935</t>
  </si>
  <si>
    <t>15226683105</t>
  </si>
  <si>
    <t>6313730032206230007787</t>
  </si>
  <si>
    <t>易龙</t>
  </si>
  <si>
    <t>18155892789</t>
  </si>
  <si>
    <t>6313730032206230007926</t>
  </si>
  <si>
    <t>李红刚</t>
  </si>
  <si>
    <t>18055836853</t>
  </si>
  <si>
    <t>6313730032206230008148</t>
  </si>
  <si>
    <t>陈敏</t>
  </si>
  <si>
    <t>15255827878</t>
  </si>
  <si>
    <t>6313730032206230008123</t>
  </si>
  <si>
    <t>15030673600</t>
  </si>
  <si>
    <t>6313730032206230008141</t>
  </si>
  <si>
    <t>余梅</t>
  </si>
  <si>
    <t>18130134830</t>
  </si>
  <si>
    <t>6313730032206230008116</t>
  </si>
  <si>
    <t>18910979869</t>
  </si>
  <si>
    <t>6313730032206230007841</t>
  </si>
  <si>
    <t>张洪波</t>
  </si>
  <si>
    <t>13832210305</t>
  </si>
  <si>
    <t>6313730032206230009541</t>
  </si>
  <si>
    <t>陈磊</t>
  </si>
  <si>
    <t>6313730032206230009468</t>
  </si>
  <si>
    <t>代子豪</t>
  </si>
  <si>
    <t>18269910267</t>
  </si>
  <si>
    <t>6313730032206230009476</t>
  </si>
  <si>
    <t>苏金兰</t>
  </si>
  <si>
    <t>15105681172</t>
  </si>
  <si>
    <t>6313730032206230009412</t>
  </si>
  <si>
    <t>周书英</t>
  </si>
  <si>
    <t>15931646165</t>
  </si>
  <si>
    <t>6313730032206230009413</t>
  </si>
  <si>
    <t>王宁</t>
  </si>
  <si>
    <t>18233261393</t>
  </si>
  <si>
    <t>6313730032206230009392</t>
  </si>
  <si>
    <t>李坤才</t>
  </si>
  <si>
    <t>6313730032206230009343</t>
  </si>
  <si>
    <t>杨文德</t>
  </si>
  <si>
    <t>18131241700</t>
  </si>
  <si>
    <t>6313730032206230008752</t>
  </si>
  <si>
    <t>万末桂</t>
  </si>
  <si>
    <t>15233061238</t>
  </si>
  <si>
    <t>6313730032206230008859</t>
  </si>
  <si>
    <t>王才珍</t>
  </si>
  <si>
    <t>13323241988</t>
  </si>
  <si>
    <t>6313730032206230008879</t>
  </si>
  <si>
    <t>梁世文</t>
  </si>
  <si>
    <t>18832663987</t>
  </si>
  <si>
    <t>6313730032206230008725</t>
  </si>
  <si>
    <t>陈静荣</t>
  </si>
  <si>
    <t>15931613613</t>
  </si>
  <si>
    <t>6313730032206230008539</t>
  </si>
  <si>
    <t>李爱平</t>
  </si>
  <si>
    <t>18755870461</t>
  </si>
  <si>
    <t>6313730032206230007915</t>
  </si>
  <si>
    <t>向太忠</t>
  </si>
  <si>
    <t>15076682700</t>
  </si>
  <si>
    <t>6313730032206230007928</t>
  </si>
  <si>
    <t>纪海龙</t>
  </si>
  <si>
    <t>15178146581</t>
  </si>
  <si>
    <t>6313730032206230007921</t>
  </si>
  <si>
    <t>6313730032206230007886</t>
  </si>
  <si>
    <t>李青波</t>
  </si>
  <si>
    <t>15956876915</t>
  </si>
  <si>
    <t>6313730032206230007829</t>
  </si>
  <si>
    <t>张洁</t>
  </si>
  <si>
    <t>15933367469</t>
  </si>
  <si>
    <t>6313730032206230007884</t>
  </si>
  <si>
    <t>王磊</t>
  </si>
  <si>
    <t>18255872609</t>
  </si>
  <si>
    <t>6313730032206230007913</t>
  </si>
  <si>
    <t>李全安</t>
  </si>
  <si>
    <t>13956750223</t>
  </si>
  <si>
    <t>6313730032206230007754</t>
  </si>
  <si>
    <t>葛玲</t>
  </si>
  <si>
    <t>13932639110</t>
  </si>
  <si>
    <t>6313730032206230007699</t>
  </si>
  <si>
    <t>赵冬冬</t>
  </si>
  <si>
    <t>13855824441</t>
  </si>
  <si>
    <t>6313730032206230007644</t>
  </si>
  <si>
    <t>13933943044</t>
  </si>
  <si>
    <t>6313730032206230009444</t>
  </si>
  <si>
    <t>易冬冬</t>
  </si>
  <si>
    <t>13930675748</t>
  </si>
  <si>
    <t>6313730032206230009184</t>
  </si>
  <si>
    <t>曲玉梅</t>
  </si>
  <si>
    <t>15555997799</t>
  </si>
  <si>
    <t>6313730032206230009409</t>
  </si>
  <si>
    <t>王进</t>
  </si>
  <si>
    <t>18226829458</t>
  </si>
  <si>
    <t>6313730032206230009474</t>
  </si>
  <si>
    <t>王爱文</t>
  </si>
  <si>
    <t>18712563848</t>
  </si>
  <si>
    <t>6313730032206230009482</t>
  </si>
  <si>
    <t>吴阳春</t>
  </si>
  <si>
    <t>18130726556</t>
  </si>
  <si>
    <t>6313730032206230009438</t>
  </si>
  <si>
    <t>刘克华</t>
  </si>
  <si>
    <t>13833441567</t>
  </si>
  <si>
    <t>6313730032206230008541</t>
  </si>
  <si>
    <t>柳明</t>
  </si>
  <si>
    <t>15312362053</t>
  </si>
  <si>
    <t>6313730032206230008638</t>
  </si>
  <si>
    <t>郑小东</t>
  </si>
  <si>
    <t>13855845762</t>
  </si>
  <si>
    <t>6313730032206230007687</t>
  </si>
  <si>
    <t>吴大海</t>
  </si>
  <si>
    <t>6313730032206230007693</t>
  </si>
  <si>
    <t>黄晓波</t>
  </si>
  <si>
    <t>15810711968</t>
  </si>
  <si>
    <t>6313730032206230007661</t>
  </si>
  <si>
    <t>王富科</t>
  </si>
  <si>
    <t>15375586027</t>
  </si>
  <si>
    <t>6313730032206230007706</t>
  </si>
  <si>
    <t>胡黎黎</t>
  </si>
  <si>
    <t>15856781744</t>
  </si>
  <si>
    <t>6313730032206230007660</t>
  </si>
  <si>
    <t>唐神飞</t>
  </si>
  <si>
    <t>18832642617</t>
  </si>
  <si>
    <t>6313730032206230007492</t>
  </si>
  <si>
    <t>田应生</t>
  </si>
  <si>
    <t>18033066843</t>
  </si>
  <si>
    <t>6313730032206230007581</t>
  </si>
  <si>
    <t>雷元</t>
  </si>
  <si>
    <t>13932622391</t>
  </si>
  <si>
    <t>6313730032206230009050</t>
  </si>
  <si>
    <t>18298165685</t>
  </si>
  <si>
    <t>6313730032206230009010</t>
  </si>
  <si>
    <t>马季光</t>
  </si>
  <si>
    <t>13339045068</t>
  </si>
  <si>
    <t>6313730032206230008893</t>
  </si>
  <si>
    <t>周黎明</t>
  </si>
  <si>
    <t>17805581703</t>
  </si>
  <si>
    <t>6313730032206230008905</t>
  </si>
  <si>
    <t>熊华</t>
  </si>
  <si>
    <t>13470798305</t>
  </si>
  <si>
    <t>6313730032206230009489</t>
  </si>
  <si>
    <t>黄小华</t>
  </si>
  <si>
    <t>18096732578</t>
  </si>
  <si>
    <t>6313730032206230009507</t>
  </si>
  <si>
    <t>李菁</t>
  </si>
  <si>
    <t>15255815010</t>
  </si>
  <si>
    <t>6313730032206230008636</t>
  </si>
  <si>
    <t>吴娟</t>
  </si>
  <si>
    <t>16663309768</t>
  </si>
  <si>
    <t>6313730032206230008589</t>
  </si>
  <si>
    <t>王金枝</t>
  </si>
  <si>
    <t>13292700602</t>
  </si>
  <si>
    <t>6313730032206230008612</t>
  </si>
  <si>
    <t>江汉</t>
  </si>
  <si>
    <t>13231729111</t>
  </si>
  <si>
    <t>6313730032206230008586</t>
  </si>
  <si>
    <t>纪明松</t>
  </si>
  <si>
    <t>18055853669</t>
  </si>
  <si>
    <t>6313730032206230007722</t>
  </si>
  <si>
    <t>15231714670</t>
  </si>
  <si>
    <t>6313730032206230007617</t>
  </si>
  <si>
    <t>马莲英</t>
  </si>
  <si>
    <t>18855821185</t>
  </si>
  <si>
    <t>6313730032206230007654</t>
  </si>
  <si>
    <t>瞿祥玲</t>
  </si>
  <si>
    <t>19356753233</t>
  </si>
  <si>
    <t>6313730032206230007730</t>
  </si>
  <si>
    <t>18658256563</t>
  </si>
  <si>
    <t>6313730032206230008466</t>
  </si>
  <si>
    <t>刘世谊</t>
  </si>
  <si>
    <t>15133724406</t>
  </si>
  <si>
    <t>6313730032206230008487</t>
  </si>
  <si>
    <t>李杨</t>
  </si>
  <si>
    <t>17336777009</t>
  </si>
  <si>
    <t>6313730032206230008264</t>
  </si>
  <si>
    <t>18385972755</t>
  </si>
  <si>
    <t>6313730032206230009054</t>
  </si>
  <si>
    <t>张晓波</t>
  </si>
  <si>
    <t>19956853833</t>
  </si>
  <si>
    <t>6313730032206230009037</t>
  </si>
  <si>
    <t>金莎</t>
  </si>
  <si>
    <t>15133340503</t>
  </si>
  <si>
    <t>6313730032206230008695</t>
  </si>
  <si>
    <t>康晓兰</t>
  </si>
  <si>
    <t>13855882862</t>
  </si>
  <si>
    <t>6313730032206230009442</t>
  </si>
  <si>
    <t>徐春红</t>
  </si>
  <si>
    <t>15395588502</t>
  </si>
  <si>
    <t>6313730032206230009422</t>
  </si>
  <si>
    <t>刘厚荣</t>
  </si>
  <si>
    <t>13955877466</t>
  </si>
  <si>
    <t>6313730032206230009423</t>
  </si>
  <si>
    <t>张君</t>
  </si>
  <si>
    <t>17709681266</t>
  </si>
  <si>
    <t>6313730032206230009449</t>
  </si>
  <si>
    <t>马蓉</t>
  </si>
  <si>
    <t>18010519511</t>
  </si>
  <si>
    <t>6313730032206230009450</t>
  </si>
  <si>
    <t>欧以琪</t>
  </si>
  <si>
    <t>15055535528</t>
  </si>
  <si>
    <t>6313730032206230008473</t>
  </si>
  <si>
    <t>罗青华</t>
  </si>
  <si>
    <t>18326889292</t>
  </si>
  <si>
    <t>6313730032206230007669</t>
  </si>
  <si>
    <t>蒋厚洪</t>
  </si>
  <si>
    <t>18305589316</t>
  </si>
  <si>
    <t>6313730032206230007663</t>
  </si>
  <si>
    <t>王鄂林</t>
  </si>
  <si>
    <t>15831603432</t>
  </si>
  <si>
    <t>6313730032206230007737</t>
  </si>
  <si>
    <t>周丽</t>
  </si>
  <si>
    <t>15128940200</t>
  </si>
  <si>
    <t>6313730032206230007732</t>
  </si>
  <si>
    <t>18256019413</t>
  </si>
  <si>
    <t>6313730032206230007828</t>
  </si>
  <si>
    <t>郑翠平</t>
  </si>
  <si>
    <t>15855864771</t>
  </si>
  <si>
    <t>6313730032206230007867</t>
  </si>
  <si>
    <t>黎文飞</t>
  </si>
  <si>
    <t>13582961496</t>
  </si>
  <si>
    <t>6313730032206230007793</t>
  </si>
  <si>
    <t>李国华</t>
  </si>
  <si>
    <t>13930623841</t>
  </si>
  <si>
    <t>6313730032206230007917</t>
  </si>
  <si>
    <t>任晓龙</t>
  </si>
  <si>
    <t>15342090922</t>
  </si>
  <si>
    <t>6313730032206230007657</t>
  </si>
  <si>
    <t>李勇</t>
  </si>
  <si>
    <t>17310952693</t>
  </si>
  <si>
    <t>6313730032206230008953</t>
  </si>
  <si>
    <t>卞何钢</t>
  </si>
  <si>
    <t>13930690039</t>
  </si>
  <si>
    <t>6313730032206230008529</t>
  </si>
  <si>
    <t>何书武</t>
  </si>
  <si>
    <t>6313730032206230008449</t>
  </si>
  <si>
    <t>李艳姣</t>
  </si>
  <si>
    <t>13373265228</t>
  </si>
  <si>
    <t>6313730032206230009419</t>
  </si>
  <si>
    <t>18756256673</t>
  </si>
  <si>
    <t>6313730032206230009362</t>
  </si>
  <si>
    <t>王义保</t>
  </si>
  <si>
    <t>15345588911</t>
  </si>
  <si>
    <t>6313730032206230009464</t>
  </si>
  <si>
    <t>易发斌</t>
  </si>
  <si>
    <t>13903128582</t>
  </si>
  <si>
    <t>6313730032206230009471</t>
  </si>
  <si>
    <t>顾莉莉</t>
  </si>
  <si>
    <t>18434755015</t>
  </si>
  <si>
    <t>6313730032206230009107</t>
  </si>
  <si>
    <t>陈学武</t>
  </si>
  <si>
    <t>17731694433</t>
  </si>
  <si>
    <t>6313730032206230009266</t>
  </si>
  <si>
    <t>王敦霞</t>
  </si>
  <si>
    <t>13785490038</t>
  </si>
  <si>
    <t>6313730032206230009147</t>
  </si>
  <si>
    <t>张利平</t>
  </si>
  <si>
    <t>15542931888</t>
  </si>
  <si>
    <t>6313730032206230008481</t>
  </si>
  <si>
    <t>罗灵子</t>
  </si>
  <si>
    <t>6313730032206230008480</t>
  </si>
  <si>
    <t>程鹏</t>
  </si>
  <si>
    <t>18202255086</t>
  </si>
  <si>
    <t>6313730032206230008533</t>
  </si>
  <si>
    <t>张蒙</t>
  </si>
  <si>
    <t>17633272662</t>
  </si>
  <si>
    <t>6313730032206230008544</t>
  </si>
  <si>
    <t>李久红</t>
  </si>
  <si>
    <t>15320031823</t>
  </si>
  <si>
    <t>6313730032206230008538</t>
  </si>
  <si>
    <t>秦香莲</t>
  </si>
  <si>
    <t>13920608615</t>
  </si>
  <si>
    <t>6313730032206230008512</t>
  </si>
  <si>
    <t>万正耀</t>
  </si>
  <si>
    <t>17716508028</t>
  </si>
  <si>
    <t>6313730032206230007668</t>
  </si>
  <si>
    <t>赵必灿</t>
  </si>
  <si>
    <t>18726507403</t>
  </si>
  <si>
    <t>6313730032206230007615</t>
  </si>
  <si>
    <t>周雷</t>
  </si>
  <si>
    <t>18777695562</t>
  </si>
  <si>
    <t>6313730032206230007528</t>
  </si>
  <si>
    <t>焦心柱</t>
  </si>
  <si>
    <t>13832703737</t>
  </si>
  <si>
    <t>6313730032206230007509</t>
  </si>
  <si>
    <t>严智轩</t>
  </si>
  <si>
    <t>15801395010</t>
  </si>
  <si>
    <t>6313730032206230007534</t>
  </si>
  <si>
    <t>程露</t>
  </si>
  <si>
    <t>15021615803</t>
  </si>
  <si>
    <t>6313730032206230007539</t>
  </si>
  <si>
    <t>李明辉</t>
  </si>
  <si>
    <t>18106521678</t>
  </si>
  <si>
    <t>6313730032206230007536</t>
  </si>
  <si>
    <t>李娟</t>
  </si>
  <si>
    <t>15385819836</t>
  </si>
  <si>
    <t>6313730032206230008767</t>
  </si>
  <si>
    <t>周厚芳</t>
  </si>
  <si>
    <t>13681452468</t>
  </si>
  <si>
    <t>6313730032220230000029</t>
  </si>
  <si>
    <t>荆州区东南醇餐饮店</t>
  </si>
  <si>
    <t>15955887344</t>
  </si>
  <si>
    <t>6313730032206230008500</t>
  </si>
  <si>
    <t>胡斌</t>
  </si>
  <si>
    <t>15256803892</t>
  </si>
  <si>
    <t>6313730032206230008681</t>
  </si>
  <si>
    <t>潘小红</t>
  </si>
  <si>
    <t>13810690243</t>
  </si>
  <si>
    <t>6313730032206230008444</t>
  </si>
  <si>
    <t>鲁萍</t>
  </si>
  <si>
    <t>18326806357</t>
  </si>
  <si>
    <t>6313730032206230008690</t>
  </si>
  <si>
    <t>周洁</t>
  </si>
  <si>
    <t>13311231406</t>
  </si>
  <si>
    <t>6313730032206230008458</t>
  </si>
  <si>
    <t>瞿定秀</t>
  </si>
  <si>
    <t>13601257731</t>
  </si>
  <si>
    <t>6313730032206230008574</t>
  </si>
  <si>
    <t>曹礼艳</t>
  </si>
  <si>
    <t>13905147657</t>
  </si>
  <si>
    <t>6313730032206230008680</t>
  </si>
  <si>
    <t>梅宇</t>
  </si>
  <si>
    <t>13902111986</t>
  </si>
  <si>
    <t>6313730032206230008197</t>
  </si>
  <si>
    <t>王春华</t>
  </si>
  <si>
    <t>18226305679</t>
  </si>
  <si>
    <t>6313730032206230008333</t>
  </si>
  <si>
    <t>肖中根</t>
  </si>
  <si>
    <t>15385819366</t>
  </si>
  <si>
    <t>6313730032206230008381</t>
  </si>
  <si>
    <t>杨德峰</t>
  </si>
  <si>
    <t>13955867719</t>
  </si>
  <si>
    <t>6313730032206230008293</t>
  </si>
  <si>
    <t>魏尚柏</t>
  </si>
  <si>
    <t>13966819226</t>
  </si>
  <si>
    <t>6313730032206230008294</t>
  </si>
  <si>
    <t>朱辉</t>
  </si>
  <si>
    <t>13520551665</t>
  </si>
  <si>
    <t>6313730032206230009263</t>
  </si>
  <si>
    <t>杨陈弘</t>
  </si>
  <si>
    <t>13269537835</t>
  </si>
  <si>
    <t>6313730032206230007519</t>
  </si>
  <si>
    <t>陈忠</t>
  </si>
  <si>
    <t>13705587382</t>
  </si>
  <si>
    <t>6313730032206230007513</t>
  </si>
  <si>
    <t>高雪钢</t>
  </si>
  <si>
    <t>15990207121</t>
  </si>
  <si>
    <t>6313730032206230007515</t>
  </si>
  <si>
    <t>蔡昊</t>
  </si>
  <si>
    <t>15311005283</t>
  </si>
  <si>
    <t>6313730032206230007607</t>
  </si>
  <si>
    <t>卢丹丹</t>
  </si>
  <si>
    <t>18755808234</t>
  </si>
  <si>
    <t>6313730032220230000026</t>
  </si>
  <si>
    <t>沙市区八锅九碗</t>
  </si>
  <si>
    <t>13821314898</t>
  </si>
  <si>
    <t>6313730032220230000027</t>
  </si>
  <si>
    <t>荆州区小猴焖烧鸡店</t>
  </si>
  <si>
    <t>15903168769</t>
  </si>
  <si>
    <t>6313730032206230008351</t>
  </si>
  <si>
    <t>龚云春</t>
  </si>
  <si>
    <t>18611795264</t>
  </si>
  <si>
    <t>6313730032206230008226</t>
  </si>
  <si>
    <t>吴丽军</t>
  </si>
  <si>
    <t>17736707803</t>
  </si>
  <si>
    <t>6313730032206230009228</t>
  </si>
  <si>
    <t>张新伢</t>
  </si>
  <si>
    <t>15731689502</t>
  </si>
  <si>
    <t>6313730032206230009151</t>
  </si>
  <si>
    <t>李长茂</t>
  </si>
  <si>
    <t>17709682759</t>
  </si>
  <si>
    <t>6313730032206230009161</t>
  </si>
  <si>
    <t>陈新力</t>
  </si>
  <si>
    <t>13503247913</t>
  </si>
  <si>
    <t>6313730032206230008195</t>
  </si>
  <si>
    <t>罗张</t>
  </si>
  <si>
    <t>13865859097</t>
  </si>
  <si>
    <t>6313730032206230008322</t>
  </si>
  <si>
    <t>吴强</t>
  </si>
  <si>
    <t>15716899502</t>
  </si>
  <si>
    <t>6313730032206230008403</t>
  </si>
  <si>
    <t>胡泽钿</t>
  </si>
  <si>
    <t>18202257121</t>
  </si>
  <si>
    <t>6313730032206230008207</t>
  </si>
  <si>
    <t>刘少波</t>
  </si>
  <si>
    <t>18232498172</t>
  </si>
  <si>
    <t>6313730032206230008325</t>
  </si>
  <si>
    <t>杨明珍</t>
  </si>
  <si>
    <t>13373065955</t>
  </si>
  <si>
    <t>6313730032206230008260</t>
  </si>
  <si>
    <t>沈银海</t>
  </si>
  <si>
    <t>13932636603</t>
  </si>
  <si>
    <t>6313730032206230007496</t>
  </si>
  <si>
    <t>郑敏</t>
  </si>
  <si>
    <t>15832676001</t>
  </si>
  <si>
    <t>6313730032206230007595</t>
  </si>
  <si>
    <t>王睿琦</t>
  </si>
  <si>
    <t>15127603941</t>
  </si>
  <si>
    <t>6313730032206230007446</t>
  </si>
  <si>
    <t>姜昌秀</t>
  </si>
  <si>
    <t>13832618788</t>
  </si>
  <si>
    <t>6313730032206230008287</t>
  </si>
  <si>
    <t>马丽亚</t>
  </si>
  <si>
    <t>6313730032206230008295</t>
  </si>
  <si>
    <t>刘大典</t>
  </si>
  <si>
    <t>6313730032206230008348</t>
  </si>
  <si>
    <t>曾霞</t>
  </si>
  <si>
    <t>13911108883</t>
  </si>
  <si>
    <t>6313730032206230008341</t>
  </si>
  <si>
    <t>张徐</t>
  </si>
  <si>
    <t>17703163406</t>
  </si>
  <si>
    <t>6313730032206230008406</t>
  </si>
  <si>
    <t>代堂松</t>
  </si>
  <si>
    <t>13831632306</t>
  </si>
  <si>
    <t>6313730032206230009159</t>
  </si>
  <si>
    <t>万浠</t>
  </si>
  <si>
    <t>13832624212</t>
  </si>
  <si>
    <t>6313730032206230009113</t>
  </si>
  <si>
    <t>汤涛</t>
  </si>
  <si>
    <t>15100690799</t>
  </si>
  <si>
    <t>6313730032206230009128</t>
  </si>
  <si>
    <t>樊玉垓</t>
  </si>
  <si>
    <t>6313730032206230008249</t>
  </si>
  <si>
    <t>周桂英</t>
  </si>
  <si>
    <t>13701255221</t>
  </si>
  <si>
    <t>6313730032206230008276</t>
  </si>
  <si>
    <t>陈丹</t>
  </si>
  <si>
    <t>13784126408</t>
  </si>
  <si>
    <t>6313730032206230008228</t>
  </si>
  <si>
    <t>18002018599</t>
  </si>
  <si>
    <t>6313730032206230008215</t>
  </si>
  <si>
    <t>何琼</t>
  </si>
  <si>
    <t>18510508345</t>
  </si>
  <si>
    <t>6313730032206230007439</t>
  </si>
  <si>
    <t>彭宁江</t>
  </si>
  <si>
    <t>15931335444</t>
  </si>
  <si>
    <t>6313730032206230007471</t>
  </si>
  <si>
    <t>张兵</t>
  </si>
  <si>
    <t>13732655236</t>
  </si>
  <si>
    <t>6313730032206230007435</t>
  </si>
  <si>
    <t>胡耀清</t>
  </si>
  <si>
    <t>15133650046</t>
  </si>
  <si>
    <t>6313730032206230007436</t>
  </si>
  <si>
    <t>康慧鹏</t>
  </si>
  <si>
    <t>13671241327</t>
  </si>
  <si>
    <t>6313730032206230008281</t>
  </si>
  <si>
    <t>魏晓冲</t>
  </si>
  <si>
    <t>15249845445</t>
  </si>
  <si>
    <t>6313730032206230008382</t>
  </si>
  <si>
    <t>何晓初</t>
  </si>
  <si>
    <t>18226260042</t>
  </si>
  <si>
    <t>6313730032206230008243</t>
  </si>
  <si>
    <t>龚松林</t>
  </si>
  <si>
    <t>13683307692</t>
  </si>
  <si>
    <t>6313730032206230008044</t>
  </si>
  <si>
    <t>熊意巧</t>
  </si>
  <si>
    <t>13785642565</t>
  </si>
  <si>
    <t>6313730032206230009129</t>
  </si>
  <si>
    <t>王小女</t>
  </si>
  <si>
    <t>18055822213</t>
  </si>
  <si>
    <t>6313730032206230009229</t>
  </si>
  <si>
    <t>胡小林</t>
  </si>
  <si>
    <t>15132657030</t>
  </si>
  <si>
    <t>6313730032206230009116</t>
  </si>
  <si>
    <t>邓池文</t>
  </si>
  <si>
    <t>15856786995</t>
  </si>
  <si>
    <t>6313730032206230009127</t>
  </si>
  <si>
    <t>钱红霞</t>
  </si>
  <si>
    <t>13785474224</t>
  </si>
  <si>
    <t>6313730032206230009115</t>
  </si>
  <si>
    <t>胡磊</t>
  </si>
  <si>
    <t>13833607766</t>
  </si>
  <si>
    <t>6313730032206230008224</t>
  </si>
  <si>
    <t>董召龙</t>
  </si>
  <si>
    <t>13303433242</t>
  </si>
  <si>
    <t>6313730032206230008299</t>
  </si>
  <si>
    <t>徐朝霞</t>
  </si>
  <si>
    <t>15855588699</t>
  </si>
  <si>
    <t>6313730032206230008244</t>
  </si>
  <si>
    <t>谢先超</t>
  </si>
  <si>
    <t>18730613171</t>
  </si>
  <si>
    <t>6313730032206230008300</t>
  </si>
  <si>
    <t>曹琦</t>
  </si>
  <si>
    <t>15711070738</t>
  </si>
  <si>
    <t>6313730032206230009405</t>
  </si>
  <si>
    <t>李法平</t>
  </si>
  <si>
    <t>13831614852</t>
  </si>
  <si>
    <t>6313730032206230009460</t>
  </si>
  <si>
    <t>胡子强</t>
  </si>
  <si>
    <t>15056842244</t>
  </si>
  <si>
    <t>6313730032206230009347</t>
  </si>
  <si>
    <t>杨春梅</t>
  </si>
  <si>
    <t>15076661596</t>
  </si>
  <si>
    <t>6313730032206230008010</t>
  </si>
  <si>
    <t>邓黎明</t>
  </si>
  <si>
    <t>15817715442</t>
  </si>
  <si>
    <t>6313730032206230008175</t>
  </si>
  <si>
    <t>肖术丽</t>
  </si>
  <si>
    <t>17604291932</t>
  </si>
  <si>
    <t>6313730032206230009320</t>
  </si>
  <si>
    <t>杨晓蕾</t>
  </si>
  <si>
    <t>18310865687</t>
  </si>
  <si>
    <t>6313730032206230009093</t>
  </si>
  <si>
    <t>黄芝红</t>
  </si>
  <si>
    <t>15810931207</t>
  </si>
  <si>
    <t>6313730032206230009250</t>
  </si>
  <si>
    <t>张玉屏</t>
  </si>
  <si>
    <t>18701038946</t>
  </si>
  <si>
    <t>6313730032206230008378</t>
  </si>
  <si>
    <t>刘少杰</t>
  </si>
  <si>
    <t>13275588151</t>
  </si>
  <si>
    <t>6313730032206230008247</t>
  </si>
  <si>
    <t>李想芝</t>
  </si>
  <si>
    <t>13191964043</t>
  </si>
  <si>
    <t>6313730032206230007994</t>
  </si>
  <si>
    <t>田君</t>
  </si>
  <si>
    <t>13811342348</t>
  </si>
  <si>
    <t>6313730032206230008017</t>
  </si>
  <si>
    <t>廖晓露</t>
  </si>
  <si>
    <t>18618185628</t>
  </si>
  <si>
    <t>6313730032206230007982</t>
  </si>
  <si>
    <t>李娜</t>
  </si>
  <si>
    <t>15350680987</t>
  </si>
  <si>
    <t>6313730032206230008160</t>
  </si>
  <si>
    <t>赵远诚</t>
  </si>
  <si>
    <t>18931674558</t>
  </si>
  <si>
    <t>6313730032206230009261</t>
  </si>
  <si>
    <t>15855808056</t>
  </si>
  <si>
    <t>6313730032206230009137</t>
  </si>
  <si>
    <t>文梅波</t>
  </si>
  <si>
    <t>18355888816</t>
  </si>
  <si>
    <t>6313730032206230009160</t>
  </si>
  <si>
    <t>王步齐</t>
  </si>
  <si>
    <t>15003369572</t>
  </si>
  <si>
    <t>6313730032206230009195</t>
  </si>
  <si>
    <t>占前</t>
  </si>
  <si>
    <t>13121736992</t>
  </si>
  <si>
    <t>6313730032206230009310</t>
  </si>
  <si>
    <t>陈浩</t>
  </si>
  <si>
    <t>13805585709</t>
  </si>
  <si>
    <t>6313730032206230008083</t>
  </si>
  <si>
    <t>李坤</t>
  </si>
  <si>
    <t>13966580875</t>
  </si>
  <si>
    <t>6313730032206230008191</t>
  </si>
  <si>
    <t>谭晶龙</t>
  </si>
  <si>
    <t>13613127598</t>
  </si>
  <si>
    <t>6313730032206230008919</t>
  </si>
  <si>
    <t>毛先金</t>
  </si>
  <si>
    <t>15932169666</t>
  </si>
  <si>
    <t>6313730032206230008979</t>
  </si>
  <si>
    <t>鲁维</t>
  </si>
  <si>
    <t>18133103600</t>
  </si>
  <si>
    <t>6313730032206230008983</t>
  </si>
  <si>
    <t>张清</t>
  </si>
  <si>
    <t>13161569328</t>
  </si>
  <si>
    <t>6313730032206230009059</t>
  </si>
  <si>
    <t>乔波</t>
  </si>
  <si>
    <t>15383063973</t>
  </si>
  <si>
    <t>6313730032206230008026</t>
  </si>
  <si>
    <t>张慧</t>
  </si>
  <si>
    <t>18003362713</t>
  </si>
  <si>
    <t>6313730032206230007980</t>
  </si>
  <si>
    <t>揭红霞</t>
  </si>
  <si>
    <t>18510211517</t>
  </si>
  <si>
    <t>6313730032206230007976</t>
  </si>
  <si>
    <t>王丽华</t>
  </si>
  <si>
    <t>13866252328</t>
  </si>
  <si>
    <t>6313730032206230008051</t>
  </si>
  <si>
    <t>王丹</t>
  </si>
  <si>
    <t>18955869007</t>
  </si>
  <si>
    <t>6313730032206230008052</t>
  </si>
  <si>
    <t>周芸</t>
  </si>
  <si>
    <t>15210541899</t>
  </si>
  <si>
    <t>6313730032206230008182</t>
  </si>
  <si>
    <t>诸勋</t>
  </si>
  <si>
    <t>6313730032206230008188</t>
  </si>
  <si>
    <t>石明钢</t>
  </si>
  <si>
    <t>13505586089</t>
  </si>
  <si>
    <t>6313730032206230008033</t>
  </si>
  <si>
    <t>张丛雪</t>
  </si>
  <si>
    <t>13051281829</t>
  </si>
  <si>
    <t>6313730032206230009314</t>
  </si>
  <si>
    <t>佘建华</t>
  </si>
  <si>
    <t>18831317022</t>
  </si>
  <si>
    <t>6313730032206230009178</t>
  </si>
  <si>
    <t>郑文静</t>
  </si>
  <si>
    <t>13833696264</t>
  </si>
  <si>
    <t>6313730032206230009156</t>
  </si>
  <si>
    <t>赵训典</t>
  </si>
  <si>
    <t>13343061983</t>
  </si>
  <si>
    <t>6313730032206230009305</t>
  </si>
  <si>
    <t>朱元亮</t>
  </si>
  <si>
    <t>13505689920</t>
  </si>
  <si>
    <t>6313730032206230008987</t>
  </si>
  <si>
    <t>黄静娴</t>
  </si>
  <si>
    <t>17555085111</t>
  </si>
  <si>
    <t>6313730032206230007812</t>
  </si>
  <si>
    <t>侯清华</t>
  </si>
  <si>
    <t>15822342431</t>
  </si>
  <si>
    <t>6313730032206230008995</t>
  </si>
  <si>
    <t>桑克鑫</t>
  </si>
  <si>
    <t>13930632723</t>
  </si>
  <si>
    <t>6313730032206230009017</t>
  </si>
  <si>
    <t>廖文娟</t>
  </si>
  <si>
    <t>15178175258</t>
  </si>
  <si>
    <t>6313730032206230008894</t>
  </si>
  <si>
    <t>戴张芳</t>
  </si>
  <si>
    <t>13930651450</t>
  </si>
  <si>
    <t>6313730032206230008932</t>
  </si>
  <si>
    <t>13811093095</t>
  </si>
  <si>
    <t>6313730032206230008907</t>
  </si>
  <si>
    <t>15354168937</t>
  </si>
  <si>
    <t>6313730032206230008911</t>
  </si>
  <si>
    <t>张妮</t>
  </si>
  <si>
    <t>13035418972</t>
  </si>
  <si>
    <t>6313730032206230008927</t>
  </si>
  <si>
    <t>韩和平</t>
  </si>
  <si>
    <t>6313730032206230007959</t>
  </si>
  <si>
    <t>孔晓婉</t>
  </si>
  <si>
    <t>13373068693</t>
  </si>
  <si>
    <t>6313730032206230008156</t>
  </si>
  <si>
    <t>孙虎</t>
  </si>
  <si>
    <t>15097623793</t>
  </si>
  <si>
    <t>6313730032206230008079</t>
  </si>
  <si>
    <t>18630693126</t>
  </si>
  <si>
    <t>6313730032206230008158</t>
  </si>
  <si>
    <t>王平娥</t>
  </si>
  <si>
    <t>13231668287</t>
  </si>
  <si>
    <t>6313730032206230008098</t>
  </si>
  <si>
    <t>王诗翠</t>
  </si>
  <si>
    <t>13513008292</t>
  </si>
  <si>
    <t>6313730032206230008958</t>
  </si>
  <si>
    <t>杨燕</t>
  </si>
  <si>
    <t>15551928260</t>
  </si>
  <si>
    <t>6313730032206230009034</t>
  </si>
  <si>
    <t>薛兰慧</t>
  </si>
  <si>
    <t>13031970990</t>
  </si>
  <si>
    <t>6313730032206230009013</t>
  </si>
  <si>
    <t>张亮</t>
  </si>
  <si>
    <t>15097638700</t>
  </si>
  <si>
    <t>6313730032206230007792</t>
  </si>
  <si>
    <t>章颖</t>
  </si>
  <si>
    <t>13691146070</t>
  </si>
  <si>
    <t>6313730032206230007894</t>
  </si>
  <si>
    <t>高倩</t>
  </si>
  <si>
    <t>18701519362</t>
  </si>
  <si>
    <t>6313730032206230007811</t>
  </si>
  <si>
    <t>袁小俊</t>
  </si>
  <si>
    <t>15898236111</t>
  </si>
  <si>
    <t>6313730032206230007845</t>
  </si>
  <si>
    <t>刘习容</t>
  </si>
  <si>
    <t>15810869367</t>
  </si>
  <si>
    <t>6313730032206230007794</t>
  </si>
  <si>
    <t>陈红娇</t>
  </si>
  <si>
    <t>15133654205</t>
  </si>
  <si>
    <t>6313730032206230007715</t>
  </si>
  <si>
    <t>贺红梅</t>
  </si>
  <si>
    <t>18502251255</t>
  </si>
  <si>
    <t>6313730032206230007710</t>
  </si>
  <si>
    <t>覃支援</t>
  </si>
  <si>
    <t>13930679950</t>
  </si>
  <si>
    <t>6313730032206230008990</t>
  </si>
  <si>
    <t>夏涛</t>
  </si>
  <si>
    <t>13383163042</t>
  </si>
  <si>
    <t>6313730032206230009006</t>
  </si>
  <si>
    <t>乾莉芳</t>
  </si>
  <si>
    <t>18633755144</t>
  </si>
  <si>
    <t>6313730032206230008791</t>
  </si>
  <si>
    <t>江宜材</t>
  </si>
  <si>
    <t>15532152154</t>
  </si>
  <si>
    <t>6313730032206230008184</t>
  </si>
  <si>
    <t>唐绪军</t>
  </si>
  <si>
    <t>18632676295</t>
  </si>
  <si>
    <t>6313730032206230008008</t>
  </si>
  <si>
    <t>马李智</t>
  </si>
  <si>
    <t>15369659979</t>
  </si>
  <si>
    <t>6313730032206230008144</t>
  </si>
  <si>
    <t>盛友珍</t>
  </si>
  <si>
    <t>13901215284</t>
  </si>
  <si>
    <t>6313730032206230008092</t>
  </si>
  <si>
    <t>田燕</t>
  </si>
  <si>
    <t>13785686104</t>
  </si>
  <si>
    <t>6313730032206230008001</t>
  </si>
  <si>
    <t>15380735159</t>
  </si>
  <si>
    <t>6313730032206230008819</t>
  </si>
  <si>
    <t>郑凤香</t>
  </si>
  <si>
    <t>13831614842</t>
  </si>
  <si>
    <t>6313730032206230008790</t>
  </si>
  <si>
    <t>胡惠敏</t>
  </si>
  <si>
    <t>13911098872</t>
  </si>
  <si>
    <t>6313730032206230008848</t>
  </si>
  <si>
    <t>花镇涛</t>
  </si>
  <si>
    <t>6313730032206230008558</t>
  </si>
  <si>
    <t>邓尧</t>
  </si>
  <si>
    <t>13663166815</t>
  </si>
  <si>
    <t>6313730032206230008594</t>
  </si>
  <si>
    <t>邱大琴</t>
  </si>
  <si>
    <t>13683004457</t>
  </si>
  <si>
    <t>6313730032206230007733</t>
  </si>
  <si>
    <t>吴文慧</t>
  </si>
  <si>
    <t>18713002971</t>
  </si>
  <si>
    <t>6313730032206230007504</t>
  </si>
  <si>
    <t>王祖翠</t>
  </si>
  <si>
    <t>13681526999</t>
  </si>
  <si>
    <t>6313730032206230007491</t>
  </si>
  <si>
    <t>田柯</t>
  </si>
  <si>
    <t>13932625985</t>
  </si>
  <si>
    <t>6313730032206230008727</t>
  </si>
  <si>
    <t>孟凡凤</t>
  </si>
  <si>
    <t>15075412980</t>
  </si>
  <si>
    <t>6313730032206230008748</t>
  </si>
  <si>
    <t>张艳静</t>
  </si>
  <si>
    <t>18755813309</t>
  </si>
  <si>
    <t>6313730032206230007833</t>
  </si>
  <si>
    <t>易得</t>
  </si>
  <si>
    <t>13700360276</t>
  </si>
  <si>
    <t>6313730032206230008657</t>
  </si>
  <si>
    <t>熊艳凌</t>
  </si>
  <si>
    <t>13831609923</t>
  </si>
  <si>
    <t>6313730032206230008419</t>
  </si>
  <si>
    <t>18803376759</t>
  </si>
  <si>
    <t>6313730032206230007448</t>
  </si>
  <si>
    <t>王亚兰</t>
  </si>
  <si>
    <t>13832631245</t>
  </si>
  <si>
    <t>6313730032206230009548</t>
  </si>
  <si>
    <t>高强</t>
  </si>
  <si>
    <t>15076460378</t>
  </si>
  <si>
    <t>6313730032206230009550</t>
  </si>
  <si>
    <t>胡万香</t>
  </si>
  <si>
    <t>13473665719</t>
  </si>
  <si>
    <t>6313730032206230008832</t>
  </si>
  <si>
    <t>18017765973</t>
  </si>
  <si>
    <t>6313730032206230008841</t>
  </si>
  <si>
    <t>张亚雄</t>
  </si>
  <si>
    <t>15200073002</t>
  </si>
  <si>
    <t>6313730032206230008880</t>
  </si>
  <si>
    <t>平青云</t>
  </si>
  <si>
    <t>13613369054</t>
  </si>
  <si>
    <t>6313730032206230008881</t>
  </si>
  <si>
    <t>张国芳</t>
  </si>
  <si>
    <t>13436529965</t>
  </si>
  <si>
    <t>6313730032206230008723</t>
  </si>
  <si>
    <t>伍灿</t>
  </si>
  <si>
    <t>15100728037</t>
  </si>
  <si>
    <t>6313730032206230008724</t>
  </si>
  <si>
    <t>罗金昌</t>
  </si>
  <si>
    <t>13866289158</t>
  </si>
  <si>
    <t>6313730032206230007895</t>
  </si>
  <si>
    <t>邵月</t>
  </si>
  <si>
    <t>15830464809</t>
  </si>
  <si>
    <t>6313730032206230007910</t>
  </si>
  <si>
    <t>刘家旺</t>
  </si>
  <si>
    <t>13161715677</t>
  </si>
  <si>
    <t>6313730032206230007940</t>
  </si>
  <si>
    <t>罗汉斌</t>
  </si>
  <si>
    <t>13635588750</t>
  </si>
  <si>
    <t>6313730032206230007953</t>
  </si>
  <si>
    <t>余训丽</t>
  </si>
  <si>
    <t>13811312879</t>
  </si>
  <si>
    <t>6313730032206230007952</t>
  </si>
  <si>
    <t>王满清</t>
  </si>
  <si>
    <t>6313730032206230007954</t>
  </si>
  <si>
    <t>易伟</t>
  </si>
  <si>
    <t>15076677508</t>
  </si>
  <si>
    <t>6313730032206230007785</t>
  </si>
  <si>
    <t>张先慧</t>
  </si>
  <si>
    <t>15128436344</t>
  </si>
  <si>
    <t>6313730032206230008282</t>
  </si>
  <si>
    <t>朱思鹏</t>
  </si>
  <si>
    <t>13473640756</t>
  </si>
  <si>
    <t>6313730032206230009534</t>
  </si>
  <si>
    <t>严志兵</t>
  </si>
  <si>
    <t>18733671874</t>
  </si>
  <si>
    <t>6313730032206230009528</t>
  </si>
  <si>
    <t>罗保成</t>
  </si>
  <si>
    <t>13855838601</t>
  </si>
  <si>
    <t>6313730032206230009502</t>
  </si>
  <si>
    <t>王妮娟</t>
  </si>
  <si>
    <t>13582787165</t>
  </si>
  <si>
    <t>6313730032206230008818</t>
  </si>
  <si>
    <t>李磊</t>
  </si>
  <si>
    <t>15031623352</t>
  </si>
  <si>
    <t>6313730032206230008865</t>
  </si>
  <si>
    <t>万仙桃</t>
  </si>
  <si>
    <t>15201278146</t>
  </si>
  <si>
    <t>6313730032206230008872</t>
  </si>
  <si>
    <t>刘业矿</t>
  </si>
  <si>
    <t>13910777738</t>
  </si>
  <si>
    <t>6313730032206230008882</t>
  </si>
  <si>
    <t>何荣</t>
  </si>
  <si>
    <t>13473688318</t>
  </si>
  <si>
    <t>6313730032206230008761</t>
  </si>
  <si>
    <t>陈小菊</t>
  </si>
  <si>
    <t>15155887684</t>
  </si>
  <si>
    <t>6313730032206230007905</t>
  </si>
  <si>
    <t>熊金秀</t>
  </si>
  <si>
    <t>15903275127</t>
  </si>
  <si>
    <t>6313730032206230007788</t>
  </si>
  <si>
    <t>雷建国</t>
  </si>
  <si>
    <t>15903163393</t>
  </si>
  <si>
    <t>6313730032206230007798</t>
  </si>
  <si>
    <t>朱忠贵</t>
  </si>
  <si>
    <t>13911515906</t>
  </si>
  <si>
    <t>6313730032206230007869</t>
  </si>
  <si>
    <t>刘燕</t>
  </si>
  <si>
    <t>15555828942</t>
  </si>
  <si>
    <t>6313730032206230007892</t>
  </si>
  <si>
    <t>陈伟</t>
  </si>
  <si>
    <t>13439055486</t>
  </si>
  <si>
    <t>6313730032206230007790</t>
  </si>
  <si>
    <t>高小梅</t>
  </si>
  <si>
    <t>15856785491</t>
  </si>
  <si>
    <t>6313730032206230007914</t>
  </si>
  <si>
    <t>朱鹏</t>
  </si>
  <si>
    <t>18333677716</t>
  </si>
  <si>
    <t>6313730032206230007897</t>
  </si>
  <si>
    <t>刘锐波</t>
  </si>
  <si>
    <t>13488896399</t>
  </si>
  <si>
    <t>6313730032206230008150</t>
  </si>
  <si>
    <t>刘玲燕</t>
  </si>
  <si>
    <t>18005689277</t>
  </si>
  <si>
    <t>6313730032206230009517</t>
  </si>
  <si>
    <t>18055818121</t>
  </si>
  <si>
    <t>6313730032206230009371</t>
  </si>
  <si>
    <t>蔡燕明</t>
  </si>
  <si>
    <t>15856803566</t>
  </si>
  <si>
    <t>6313730032206230009360</t>
  </si>
  <si>
    <t>邓巍巍</t>
  </si>
  <si>
    <t>15930608152</t>
  </si>
  <si>
    <t>6313730032206230009406</t>
  </si>
  <si>
    <t>陆菊芬</t>
  </si>
  <si>
    <t>18226268031</t>
  </si>
  <si>
    <t>6313730032206230009490</t>
  </si>
  <si>
    <t>蒋海燕</t>
  </si>
  <si>
    <t>15256882162</t>
  </si>
  <si>
    <t>6313730032206230009414</t>
  </si>
  <si>
    <t>李清</t>
  </si>
  <si>
    <t>15349882182</t>
  </si>
  <si>
    <t>6313730032206230009389</t>
  </si>
  <si>
    <t>郭龙英</t>
  </si>
  <si>
    <t>13605581775</t>
  </si>
  <si>
    <t>6313730032206230008753</t>
  </si>
  <si>
    <t>万正洋</t>
  </si>
  <si>
    <t>15076685340</t>
  </si>
  <si>
    <t>6313730032206230008741</t>
  </si>
  <si>
    <t>饶正菊</t>
  </si>
  <si>
    <t>13463635578</t>
  </si>
  <si>
    <t>6313730032206230008460</t>
  </si>
  <si>
    <t>刘芹芹</t>
  </si>
  <si>
    <t>18210236834</t>
  </si>
  <si>
    <t>6313730032206230008564</t>
  </si>
  <si>
    <t>吴天冠</t>
  </si>
  <si>
    <t>13381201486</t>
  </si>
  <si>
    <t>6313730032206230007931</t>
  </si>
  <si>
    <t>高志凌</t>
  </si>
  <si>
    <t>15133636956</t>
  </si>
  <si>
    <t>6313730032206230007923</t>
  </si>
  <si>
    <t>唐重霞</t>
  </si>
  <si>
    <t>13903261897</t>
  </si>
  <si>
    <t>6313730032206230007858</t>
  </si>
  <si>
    <t>匡建鹏</t>
  </si>
  <si>
    <t>6313730032206230007843</t>
  </si>
  <si>
    <t>李杰</t>
  </si>
  <si>
    <t>18033659153</t>
  </si>
  <si>
    <t>6313730032206230007816</t>
  </si>
  <si>
    <t>15128943430</t>
  </si>
  <si>
    <t>6313730032206230007824</t>
  </si>
  <si>
    <t>胥永凤</t>
  </si>
  <si>
    <t>6313730032206230009106</t>
  </si>
  <si>
    <t>姜红玲</t>
  </si>
  <si>
    <t>13230785120</t>
  </si>
  <si>
    <t>6313730032206230009083</t>
  </si>
  <si>
    <t>邓海涛</t>
  </si>
  <si>
    <t>15128421495</t>
  </si>
  <si>
    <t>6313730032206230009154</t>
  </si>
  <si>
    <t>王成寿</t>
  </si>
  <si>
    <t>13313268838</t>
  </si>
  <si>
    <t>6313730032206230009294</t>
  </si>
  <si>
    <t>许丽萍</t>
  </si>
  <si>
    <t>15933066093</t>
  </si>
  <si>
    <t>6313730032206230009199</t>
  </si>
  <si>
    <t>13513001592</t>
  </si>
  <si>
    <t>6313730032206230009365</t>
  </si>
  <si>
    <t>余燕</t>
  </si>
  <si>
    <t>6313730032206230009487</t>
  </si>
  <si>
    <t>郑胜</t>
  </si>
  <si>
    <t>13930608180</t>
  </si>
  <si>
    <t>6313730032206230009363</t>
  </si>
  <si>
    <t>简建平</t>
  </si>
  <si>
    <t>13383363639</t>
  </si>
  <si>
    <t>6313730032206230009375</t>
  </si>
  <si>
    <t>赵盈华</t>
  </si>
  <si>
    <t>13931633950</t>
  </si>
  <si>
    <t>6313730032206230009368</t>
  </si>
  <si>
    <t>郭梅玲</t>
  </si>
  <si>
    <t>15811187276</t>
  </si>
  <si>
    <t>6313730032206230009381</t>
  </si>
  <si>
    <t>黄宏</t>
  </si>
  <si>
    <t>18831685077</t>
  </si>
  <si>
    <t>6313730032206230008566</t>
  </si>
  <si>
    <t>周明</t>
  </si>
  <si>
    <t>15205687217</t>
  </si>
  <si>
    <t>6313730032206230008676</t>
  </si>
  <si>
    <t>张军</t>
  </si>
  <si>
    <t>13932694387</t>
  </si>
  <si>
    <t>6313730032206230008472</t>
  </si>
  <si>
    <t>徐荆湘</t>
  </si>
  <si>
    <t>15932643978</t>
  </si>
  <si>
    <t>6313730032206230008640</t>
  </si>
  <si>
    <t>伍金玉</t>
  </si>
  <si>
    <t>18732693179</t>
  </si>
  <si>
    <t>6313730032206230008606</t>
  </si>
  <si>
    <t>章杨梅</t>
  </si>
  <si>
    <t>15202273837</t>
  </si>
  <si>
    <t>6313730032206230007658</t>
  </si>
  <si>
    <t>邓梦梦</t>
  </si>
  <si>
    <t>13784125388</t>
  </si>
  <si>
    <t>6313730032206230007626</t>
  </si>
  <si>
    <t>朱作信</t>
  </si>
  <si>
    <t>18130716626</t>
  </si>
  <si>
    <t>6313730032206230007692</t>
  </si>
  <si>
    <t>贺成成</t>
  </si>
  <si>
    <t>18731676268</t>
  </si>
  <si>
    <t>6313730032206230007639</t>
  </si>
  <si>
    <t>杨成</t>
  </si>
  <si>
    <t>13931665463</t>
  </si>
  <si>
    <t>6313730032206230007749</t>
  </si>
  <si>
    <t>潘伟</t>
  </si>
  <si>
    <t>13803164803</t>
  </si>
  <si>
    <t>6313730032206230009210</t>
  </si>
  <si>
    <t>熊和平</t>
  </si>
  <si>
    <t>15097645868</t>
  </si>
  <si>
    <t>6313730032206230009045</t>
  </si>
  <si>
    <t>张晓芹</t>
  </si>
  <si>
    <t>6313730032206230009051</t>
  </si>
  <si>
    <t>杨大军</t>
  </si>
  <si>
    <t>13343067725</t>
  </si>
  <si>
    <t>6313730032206230009492</t>
  </si>
  <si>
    <t>王诗汉</t>
  </si>
  <si>
    <t>13910059777</t>
  </si>
  <si>
    <t>6313730032206230009398</t>
  </si>
  <si>
    <t>李光华</t>
  </si>
  <si>
    <t>13832621533</t>
  </si>
  <si>
    <t>6313730032206230009354</t>
  </si>
  <si>
    <t>刘芳卉</t>
  </si>
  <si>
    <t>15932160558</t>
  </si>
  <si>
    <t>6313730032206230009338</t>
  </si>
  <si>
    <t>张美姣</t>
  </si>
  <si>
    <t>18832642586</t>
  </si>
  <si>
    <t>6313730032206230009346</t>
  </si>
  <si>
    <t>瞿兆敏</t>
  </si>
  <si>
    <t>13931600020</t>
  </si>
  <si>
    <t>6313730032206230008617</t>
  </si>
  <si>
    <t>王晓欣</t>
  </si>
  <si>
    <t>6313730032206230008677</t>
  </si>
  <si>
    <t>杨彩彩</t>
  </si>
  <si>
    <t>13803163500</t>
  </si>
  <si>
    <t>6313730032206230008613</t>
  </si>
  <si>
    <t>张超</t>
  </si>
  <si>
    <t>13643160148</t>
  </si>
  <si>
    <t>6313730032206230008530</t>
  </si>
  <si>
    <t>余兵</t>
  </si>
  <si>
    <t>13403164485</t>
  </si>
  <si>
    <t>6313730032206230007744</t>
  </si>
  <si>
    <t>柳建华</t>
  </si>
  <si>
    <t>15030650700</t>
  </si>
  <si>
    <t>6313730032206230007716</t>
  </si>
  <si>
    <t>胡小燕</t>
  </si>
  <si>
    <t>13930644191</t>
  </si>
  <si>
    <t>6313730032206230008840</t>
  </si>
  <si>
    <t>胡治萍</t>
  </si>
  <si>
    <t>17180012347</t>
  </si>
  <si>
    <t>6313730032206230008771</t>
  </si>
  <si>
    <t>刘雅丽</t>
  </si>
  <si>
    <t>15801123805</t>
  </si>
  <si>
    <t>6313730032206230008494</t>
  </si>
  <si>
    <t>段圣姣</t>
  </si>
  <si>
    <t>15343162229</t>
  </si>
  <si>
    <t>6313730032206230008311</t>
  </si>
  <si>
    <t>陈光平</t>
  </si>
  <si>
    <t>18731651120</t>
  </si>
  <si>
    <t>6313730032206230008263</t>
  </si>
  <si>
    <t>6313730032206230008750</t>
  </si>
  <si>
    <t>6313730032206230008773</t>
  </si>
  <si>
    <t>王永梅</t>
  </si>
  <si>
    <t>13403162052</t>
  </si>
  <si>
    <t>6313730032206230009430</t>
  </si>
  <si>
    <t>耿群</t>
  </si>
  <si>
    <t>13833698129</t>
  </si>
  <si>
    <t>6313730032206230009447</t>
  </si>
  <si>
    <t>邹武</t>
  </si>
  <si>
    <t>13932658196</t>
  </si>
  <si>
    <t>6313730032206230009448</t>
  </si>
  <si>
    <t>高顶</t>
  </si>
  <si>
    <t>6313730032206230009415</t>
  </si>
  <si>
    <t>林松</t>
  </si>
  <si>
    <t>15830612510</t>
  </si>
  <si>
    <t>6313730032206230008623</t>
  </si>
  <si>
    <t>徐韵秋</t>
  </si>
  <si>
    <t>18801258488</t>
  </si>
  <si>
    <t>6313730032206230008645</t>
  </si>
  <si>
    <t>倪荃</t>
  </si>
  <si>
    <t>13552983092</t>
  </si>
  <si>
    <t>6313730032206230008506</t>
  </si>
  <si>
    <t>彭刚雄</t>
  </si>
  <si>
    <t>13393368567</t>
  </si>
  <si>
    <t>6313730032206230008583</t>
  </si>
  <si>
    <t>肖祖娥</t>
  </si>
  <si>
    <t>17734164110</t>
  </si>
  <si>
    <t>6313730032206230008597</t>
  </si>
  <si>
    <t>陈长武</t>
  </si>
  <si>
    <t>13693514539</t>
  </si>
  <si>
    <t>6313730032206230007664</t>
  </si>
  <si>
    <t>15385813717</t>
  </si>
  <si>
    <t>6313730032206230007707</t>
  </si>
  <si>
    <t>赵亮</t>
  </si>
  <si>
    <t>13383661488</t>
  </si>
  <si>
    <t>6313730032206230007603</t>
  </si>
  <si>
    <t>缪志贤</t>
  </si>
  <si>
    <t>15932609134</t>
  </si>
  <si>
    <t>6313730032206230008518</t>
  </si>
  <si>
    <t>庞勇</t>
  </si>
  <si>
    <t>13901327084</t>
  </si>
  <si>
    <t>6313730032206230008491</t>
  </si>
  <si>
    <t>孙清</t>
  </si>
  <si>
    <t>18155897820</t>
  </si>
  <si>
    <t>6313730032206230008654</t>
  </si>
  <si>
    <t>黄丽娟</t>
  </si>
  <si>
    <t>6313730032206230008598</t>
  </si>
  <si>
    <t>殷红霞</t>
  </si>
  <si>
    <t>13651057049</t>
  </si>
  <si>
    <t>6313730032206230008658</t>
  </si>
  <si>
    <t>徐小梦</t>
  </si>
  <si>
    <t>15831621399</t>
  </si>
  <si>
    <t>6313730032206230009367</t>
  </si>
  <si>
    <t>江孝军</t>
  </si>
  <si>
    <t>13552016517</t>
  </si>
  <si>
    <t>6313730032206230009325</t>
  </si>
  <si>
    <t>全丹丹</t>
  </si>
  <si>
    <t>13784128517</t>
  </si>
  <si>
    <t>6313730032206230009285</t>
  </si>
  <si>
    <t>张松</t>
  </si>
  <si>
    <t>15101593523</t>
  </si>
  <si>
    <t>6313730032206230008595</t>
  </si>
  <si>
    <t>诸平</t>
  </si>
  <si>
    <t>13613269688</t>
  </si>
  <si>
    <t>6313730032206230007501</t>
  </si>
  <si>
    <t>13932637299</t>
  </si>
  <si>
    <t>6313730032206230007506</t>
  </si>
  <si>
    <t>郑雄文</t>
  </si>
  <si>
    <t>18010049901</t>
  </si>
  <si>
    <t>6313730032206230007538</t>
  </si>
  <si>
    <t>覃翠香</t>
  </si>
  <si>
    <t>18810872569</t>
  </si>
  <si>
    <t>6313730032206230007485</t>
  </si>
  <si>
    <t>黄飞</t>
  </si>
  <si>
    <t>13482918111</t>
  </si>
  <si>
    <t>6313730032206230008754</t>
  </si>
  <si>
    <t>宋海燕</t>
  </si>
  <si>
    <t>6313730032206230008647</t>
  </si>
  <si>
    <t>刘书风</t>
  </si>
  <si>
    <t>15522510186</t>
  </si>
  <si>
    <t>6313730032206230008591</t>
  </si>
  <si>
    <t>余成国</t>
  </si>
  <si>
    <t>15256888599</t>
  </si>
  <si>
    <t>6313730032206230008238</t>
  </si>
  <si>
    <t>宋红杰</t>
  </si>
  <si>
    <t>18501159239</t>
  </si>
  <si>
    <t>6313730032206230008335</t>
  </si>
  <si>
    <t>李艳红</t>
  </si>
  <si>
    <t>13512438300</t>
  </si>
  <si>
    <t>6313730032206230009265</t>
  </si>
  <si>
    <t>朱德凯</t>
  </si>
  <si>
    <t>18317096220</t>
  </si>
  <si>
    <t>6313730032206230009164</t>
  </si>
  <si>
    <t>邹勇</t>
  </si>
  <si>
    <t>18042923666</t>
  </si>
  <si>
    <t>6313730032206230009315</t>
  </si>
  <si>
    <t>熊飞云</t>
  </si>
  <si>
    <t>15555881778</t>
  </si>
  <si>
    <t>6313730032206230008687</t>
  </si>
  <si>
    <t>张利莲</t>
  </si>
  <si>
    <t>18131633288</t>
  </si>
  <si>
    <t>6313730032206230008502</t>
  </si>
  <si>
    <t>徐霞</t>
  </si>
  <si>
    <t>18034162898</t>
  </si>
  <si>
    <t>6313730032206230008689</t>
  </si>
  <si>
    <t>徐凤琴</t>
  </si>
  <si>
    <t>13785601613</t>
  </si>
  <si>
    <t>6313730032206230008653</t>
  </si>
  <si>
    <t>陶三妹</t>
  </si>
  <si>
    <t>15910645846</t>
  </si>
  <si>
    <t>6313730032206230007597</t>
  </si>
  <si>
    <t>高力</t>
  </si>
  <si>
    <t>13785692469</t>
  </si>
  <si>
    <t>6313730032206230007563</t>
  </si>
  <si>
    <t>金立军</t>
  </si>
  <si>
    <t>17755886663</t>
  </si>
  <si>
    <t>6313730032220230000028</t>
  </si>
  <si>
    <t>沙市区宏宇生活电器馆</t>
  </si>
  <si>
    <t>15122821196</t>
  </si>
  <si>
    <t>6313730032206230008288</t>
  </si>
  <si>
    <t>陈桂冬</t>
  </si>
  <si>
    <t>17716515560</t>
  </si>
  <si>
    <t>6313730032206230007983</t>
  </si>
  <si>
    <t>15538507643</t>
  </si>
  <si>
    <t>6313730032206230007679</t>
  </si>
  <si>
    <t>13932692285</t>
  </si>
  <si>
    <t>6313730032206230008262</t>
  </si>
  <si>
    <t>赵建刚</t>
  </si>
  <si>
    <t>13521883357</t>
  </si>
  <si>
    <t>6313730032206230008394</t>
  </si>
  <si>
    <t>15856792571</t>
  </si>
  <si>
    <t>6313730032206230009155</t>
  </si>
  <si>
    <t>朱新丽</t>
  </si>
  <si>
    <t>18892261543</t>
  </si>
  <si>
    <t>6313730032206230009136</t>
  </si>
  <si>
    <t>胡必丹</t>
  </si>
  <si>
    <t>13785651923</t>
  </si>
  <si>
    <t>6313730032206230009302</t>
  </si>
  <si>
    <t>胡华</t>
  </si>
  <si>
    <t>6313730032206230009290</t>
  </si>
  <si>
    <t>林桂英</t>
  </si>
  <si>
    <t>15831618065</t>
  </si>
  <si>
    <t>6313730032206230008332</t>
  </si>
  <si>
    <t>常莉莉</t>
  </si>
  <si>
    <t>6313730032206230008336</t>
  </si>
  <si>
    <t>聂宏涛</t>
  </si>
  <si>
    <t>13820885695</t>
  </si>
  <si>
    <t>6313730032206230007552</t>
  </si>
  <si>
    <t>叶刚</t>
  </si>
  <si>
    <t>18513833070</t>
  </si>
  <si>
    <t>6313730032206230007554</t>
  </si>
  <si>
    <t>史太平</t>
  </si>
  <si>
    <t>13473674600</t>
  </si>
  <si>
    <t>6313730032206230007571</t>
  </si>
  <si>
    <t>方梅必</t>
  </si>
  <si>
    <t>19545332275</t>
  </si>
  <si>
    <t>6313730032206230007577</t>
  </si>
  <si>
    <t>黄海祥</t>
  </si>
  <si>
    <t>15603165181</t>
  </si>
  <si>
    <t>6313730032206230007739</t>
  </si>
  <si>
    <t>邓瑶</t>
  </si>
  <si>
    <t>18330665988</t>
  </si>
  <si>
    <t>6313730032206230008219</t>
  </si>
  <si>
    <t>朱翠娥</t>
  </si>
  <si>
    <t>18232664599</t>
  </si>
  <si>
    <t>6313730032206230008376</t>
  </si>
  <si>
    <t>王燕</t>
  </si>
  <si>
    <t>18630666433</t>
  </si>
  <si>
    <t>6313730032206230008225</t>
  </si>
  <si>
    <t>魏娟</t>
  </si>
  <si>
    <t>13911525646</t>
  </si>
  <si>
    <t>6313730032206230008349</t>
  </si>
  <si>
    <t>龚云华</t>
  </si>
  <si>
    <t>13832634509</t>
  </si>
  <si>
    <t>6313730032206230008339</t>
  </si>
  <si>
    <t>张万平</t>
  </si>
  <si>
    <t>18832622566</t>
  </si>
  <si>
    <t>6313730032206230008237</t>
  </si>
  <si>
    <t>13901016808</t>
  </si>
  <si>
    <t>6313730032206230009180</t>
  </si>
  <si>
    <t>夏良香</t>
  </si>
  <si>
    <t>15203168737</t>
  </si>
  <si>
    <t>6313730032206230009224</t>
  </si>
  <si>
    <t>王玲</t>
  </si>
  <si>
    <t>15354163781</t>
  </si>
  <si>
    <t>6313730032206230009213</t>
  </si>
  <si>
    <t>陈丽娟</t>
  </si>
  <si>
    <t>13292605825</t>
  </si>
  <si>
    <t>6313730032206230009209</t>
  </si>
  <si>
    <t>田媛</t>
  </si>
  <si>
    <t>18500982717</t>
  </si>
  <si>
    <t>6313730032206230008437</t>
  </si>
  <si>
    <t>万艳丽</t>
  </si>
  <si>
    <t>13552105658</t>
  </si>
  <si>
    <t>6313730032206230007467</t>
  </si>
  <si>
    <t>兰品魁</t>
  </si>
  <si>
    <t>13700349180</t>
  </si>
  <si>
    <t>6313730032206230007440</t>
  </si>
  <si>
    <t>任兵</t>
  </si>
  <si>
    <t>13401149202</t>
  </si>
  <si>
    <t>6313730032206230007445</t>
  </si>
  <si>
    <t>黄新兰</t>
  </si>
  <si>
    <t>15333166775</t>
  </si>
  <si>
    <t>6313730032206230007438</t>
  </si>
  <si>
    <t>皮业珍</t>
  </si>
  <si>
    <t>18231699661</t>
  </si>
  <si>
    <t>6313730032206230007437</t>
  </si>
  <si>
    <t>刘科分</t>
  </si>
  <si>
    <t>18233380203</t>
  </si>
  <si>
    <t>6313730032206230008301</t>
  </si>
  <si>
    <t>马金铭</t>
  </si>
  <si>
    <t>18856806703</t>
  </si>
  <si>
    <t>6313730032206230008297</t>
  </si>
  <si>
    <t>陈梅</t>
  </si>
  <si>
    <t>13582790677</t>
  </si>
  <si>
    <t>6313730032206230008201</t>
  </si>
  <si>
    <t>张晴</t>
  </si>
  <si>
    <t>13305580709</t>
  </si>
  <si>
    <t>6313730032206230008075</t>
  </si>
  <si>
    <t>李代玉</t>
  </si>
  <si>
    <t>18130493059</t>
  </si>
  <si>
    <t>6313730032206230009104</t>
  </si>
  <si>
    <t>黄承祥</t>
  </si>
  <si>
    <t>6313730032206230009086</t>
  </si>
  <si>
    <t>易继红</t>
  </si>
  <si>
    <t>13463167937</t>
  </si>
  <si>
    <t>6313730032206230009121</t>
  </si>
  <si>
    <t>冉迪</t>
  </si>
  <si>
    <t>6313730032206230008290</t>
  </si>
  <si>
    <t>曾洁</t>
  </si>
  <si>
    <t>15909908189</t>
  </si>
  <si>
    <t>6313730032206230008331</t>
  </si>
  <si>
    <t>王情情</t>
  </si>
  <si>
    <t>18033653228</t>
  </si>
  <si>
    <t>6313730032206230009453</t>
  </si>
  <si>
    <t>夏进霞</t>
  </si>
  <si>
    <t>18133135959</t>
  </si>
  <si>
    <t>6313730032206230009495</t>
  </si>
  <si>
    <t>门世豪</t>
  </si>
  <si>
    <t>15551695526</t>
  </si>
  <si>
    <t>6313730032206230009220</t>
  </si>
  <si>
    <t>辛明锐</t>
  </si>
  <si>
    <t>15398165225</t>
  </si>
  <si>
    <t>6313730032206230008058</t>
  </si>
  <si>
    <t>吴迪</t>
  </si>
  <si>
    <t>15051888618</t>
  </si>
  <si>
    <t>6313730032206230008061</t>
  </si>
  <si>
    <t>谢爱军</t>
  </si>
  <si>
    <t>13956686084</t>
  </si>
  <si>
    <t>6313730032206230008172</t>
  </si>
  <si>
    <t>朱剑锋</t>
  </si>
  <si>
    <t>15375138861</t>
  </si>
  <si>
    <t>6313730032206230008029</t>
  </si>
  <si>
    <t>周蓉</t>
  </si>
  <si>
    <t>18134637545</t>
  </si>
  <si>
    <t>6313730032206230009207</t>
  </si>
  <si>
    <t>夏亚静</t>
  </si>
  <si>
    <t>15930645417</t>
  </si>
  <si>
    <t>6313730032206230009208</t>
  </si>
  <si>
    <t>宋龙梅</t>
  </si>
  <si>
    <t>18231659151</t>
  </si>
  <si>
    <t>6313730032206230009125</t>
  </si>
  <si>
    <t>王兵</t>
  </si>
  <si>
    <t>18712571212</t>
  </si>
  <si>
    <t>6313730032206230007979</t>
  </si>
  <si>
    <t>杜伟</t>
  </si>
  <si>
    <t>13966585637</t>
  </si>
  <si>
    <t>6313730032206230008140</t>
  </si>
  <si>
    <t>胡鹏飞</t>
  </si>
  <si>
    <t>13463164816</t>
  </si>
  <si>
    <t>6313730032206230009181</t>
  </si>
  <si>
    <t>黄炜</t>
  </si>
  <si>
    <t>18600943203</t>
  </si>
  <si>
    <t>6313730032206230009277</t>
  </si>
  <si>
    <t>赵成</t>
  </si>
  <si>
    <t>15551680770</t>
  </si>
  <si>
    <t>6313730032206230009322</t>
  </si>
  <si>
    <t>瞿小丽</t>
  </si>
  <si>
    <t>16630605152</t>
  </si>
  <si>
    <t>6313730032206230008153</t>
  </si>
  <si>
    <t>司晨</t>
  </si>
  <si>
    <t>6313730032206230008020</t>
  </si>
  <si>
    <t>15004792738</t>
  </si>
  <si>
    <t>6313730032206230008920</t>
  </si>
  <si>
    <t>谢波</t>
  </si>
  <si>
    <t>13955880757</t>
  </si>
  <si>
    <t>6313730032206230008949</t>
  </si>
  <si>
    <t>黄容</t>
  </si>
  <si>
    <t>13930699850</t>
  </si>
  <si>
    <t>6313730032206230009032</t>
  </si>
  <si>
    <t>郭明斌</t>
  </si>
  <si>
    <t>18956739576</t>
  </si>
  <si>
    <t>6313730032206230008981</t>
  </si>
  <si>
    <t>盛文立</t>
  </si>
  <si>
    <t>13966822625</t>
  </si>
  <si>
    <t>6313730032206230009003</t>
  </si>
  <si>
    <t>朱杭英</t>
  </si>
  <si>
    <t>18231602513</t>
  </si>
  <si>
    <t>6313730032206230008128</t>
  </si>
  <si>
    <t>18736700482</t>
  </si>
  <si>
    <t>6313730032206230008124</t>
  </si>
  <si>
    <t>张丹鑫</t>
  </si>
  <si>
    <t>18226264036</t>
  </si>
  <si>
    <t>6313730032206230008181</t>
  </si>
  <si>
    <t>孙青云</t>
  </si>
  <si>
    <t>15110078788</t>
  </si>
  <si>
    <t>6313730032206230009318</t>
  </si>
  <si>
    <t>夏伟伟</t>
  </si>
  <si>
    <t>13439332353</t>
  </si>
  <si>
    <t>6313730032206230009303</t>
  </si>
  <si>
    <t>陈子文</t>
  </si>
  <si>
    <t>15932167888</t>
  </si>
  <si>
    <t>6313730032206230008945</t>
  </si>
  <si>
    <t>潘艳生</t>
  </si>
  <si>
    <t>15933634314</t>
  </si>
  <si>
    <t>6313730032206230008950</t>
  </si>
  <si>
    <t>赵祖清</t>
  </si>
  <si>
    <t>13965586471</t>
  </si>
  <si>
    <t>6313730032206230007902</t>
  </si>
  <si>
    <t>鲁开林</t>
  </si>
  <si>
    <t>15990222732</t>
  </si>
  <si>
    <t>6313730032206230007944</t>
  </si>
  <si>
    <t>15055553814</t>
  </si>
  <si>
    <t>6313730032206230007855</t>
  </si>
  <si>
    <t>乐有薇</t>
  </si>
  <si>
    <t>15630611029</t>
  </si>
  <si>
    <t>6313730032206230009018</t>
  </si>
  <si>
    <t>唐美红</t>
  </si>
  <si>
    <t>18733600789</t>
  </si>
  <si>
    <t>6313730032206230008904</t>
  </si>
  <si>
    <t>邓崇高</t>
  </si>
  <si>
    <t>13522096135</t>
  </si>
  <si>
    <t>6313730032206230008931</t>
  </si>
  <si>
    <t>郭强</t>
  </si>
  <si>
    <t>14792491019</t>
  </si>
  <si>
    <t>6313730032206230008980</t>
  </si>
  <si>
    <t>张合香</t>
  </si>
  <si>
    <t>17332611707</t>
  </si>
  <si>
    <t>6313730032206230008166</t>
  </si>
  <si>
    <t>万里</t>
  </si>
  <si>
    <t>13641260893</t>
  </si>
  <si>
    <t>6313730032206230007956</t>
  </si>
  <si>
    <t>张爱民</t>
  </si>
  <si>
    <t>15076601622</t>
  </si>
  <si>
    <t>6313730032206230008903</t>
  </si>
  <si>
    <t>柳波</t>
  </si>
  <si>
    <t>15075652050</t>
  </si>
  <si>
    <t>6313730032206230009007</t>
  </si>
  <si>
    <t>罗军明</t>
  </si>
  <si>
    <t>15097631674</t>
  </si>
  <si>
    <t>6313730032206230008988</t>
  </si>
  <si>
    <t>李麒</t>
  </si>
  <si>
    <t>13683233493</t>
  </si>
  <si>
    <t>6313730032206230007836</t>
  </si>
  <si>
    <t>胡华章</t>
  </si>
  <si>
    <t>13075051885</t>
  </si>
  <si>
    <t>6313730032206230007688</t>
  </si>
  <si>
    <t>颜永丽</t>
  </si>
  <si>
    <t>15230648296</t>
  </si>
  <si>
    <t>6313730032206230007753</t>
  </si>
  <si>
    <t>周雪莲</t>
  </si>
  <si>
    <t>13691131336</t>
  </si>
  <si>
    <t>6313730032206230009031</t>
  </si>
  <si>
    <t>杨友霞</t>
  </si>
  <si>
    <t>18096488338</t>
  </si>
  <si>
    <t>6313730032206230009039</t>
  </si>
  <si>
    <t>刘蓉</t>
  </si>
  <si>
    <t>13515575358</t>
  </si>
  <si>
    <t>6313730032206230009043</t>
  </si>
  <si>
    <t>刘礼明</t>
  </si>
  <si>
    <t>15655863358</t>
  </si>
  <si>
    <t>6313730032206230008974</t>
  </si>
  <si>
    <t>王为梁</t>
  </si>
  <si>
    <t>6313730032206230008025</t>
  </si>
  <si>
    <t>吴小俊</t>
  </si>
  <si>
    <t>17755889982</t>
  </si>
  <si>
    <t>6313730032206230008099</t>
  </si>
  <si>
    <t>黄光风</t>
  </si>
  <si>
    <t>13811895773</t>
  </si>
  <si>
    <t>6313730032206230007997</t>
  </si>
  <si>
    <t>查于府</t>
  </si>
  <si>
    <t>18055896705</t>
  </si>
  <si>
    <t>6313730032206230007996</t>
  </si>
  <si>
    <t>颜春花</t>
  </si>
  <si>
    <t>18005586239</t>
  </si>
  <si>
    <t>6313730032206230008168</t>
  </si>
  <si>
    <t>周倩</t>
  </si>
  <si>
    <t>18731316179</t>
  </si>
  <si>
    <t>6313730032206230007567</t>
  </si>
  <si>
    <t>喻金龙</t>
  </si>
  <si>
    <t>15555168883</t>
  </si>
  <si>
    <t>6313730032206230007590</t>
  </si>
  <si>
    <t>杨通琴</t>
  </si>
  <si>
    <t>18955892230</t>
  </si>
  <si>
    <t>6313730032206230008793</t>
  </si>
  <si>
    <t>袁孝珍</t>
  </si>
  <si>
    <t>13391860814</t>
  </si>
  <si>
    <t>6313730032206230008873</t>
  </si>
  <si>
    <t>余航</t>
  </si>
  <si>
    <t>13205680823</t>
  </si>
  <si>
    <t>6313730032206230008760</t>
  </si>
  <si>
    <t>18726505277</t>
  </si>
  <si>
    <t>6313730032206230008782</t>
  </si>
  <si>
    <t>符宝明</t>
  </si>
  <si>
    <t>13501072051</t>
  </si>
  <si>
    <t>6313730032206230007898</t>
  </si>
  <si>
    <t>汤显</t>
  </si>
  <si>
    <t>18910632738</t>
  </si>
  <si>
    <t>6313730032206230007860</t>
  </si>
  <si>
    <t>陈晓梅</t>
  </si>
  <si>
    <t>13355585341</t>
  </si>
  <si>
    <t>6313730032206230007880</t>
  </si>
  <si>
    <t>徐友翠</t>
  </si>
  <si>
    <t>13855802805</t>
  </si>
  <si>
    <t>6313730032206230007777</t>
  </si>
  <si>
    <t>罗先强</t>
  </si>
  <si>
    <t>18131796728</t>
  </si>
  <si>
    <t>6313730032206230007778</t>
  </si>
  <si>
    <t>黄娟</t>
  </si>
  <si>
    <t>15103263543</t>
  </si>
  <si>
    <t>6313730032206230008693</t>
  </si>
  <si>
    <t>刘敦才</t>
  </si>
  <si>
    <t>6313730032206230007476</t>
  </si>
  <si>
    <t>翟双双</t>
  </si>
  <si>
    <t>15132679270</t>
  </si>
  <si>
    <t>6313730032206230009537</t>
  </si>
  <si>
    <t>王琼</t>
  </si>
  <si>
    <t>18205586516</t>
  </si>
  <si>
    <t>6313730032206230009559</t>
  </si>
  <si>
    <t>李军艳</t>
  </si>
  <si>
    <t>18510369400</t>
  </si>
  <si>
    <t>6313730032206230008833</t>
  </si>
  <si>
    <t>刘平</t>
  </si>
  <si>
    <t>15081684360</t>
  </si>
  <si>
    <t>6313730032206230008867</t>
  </si>
  <si>
    <t>王万银</t>
  </si>
  <si>
    <t>13904765602</t>
  </si>
  <si>
    <t>6313730032206230008844</t>
  </si>
  <si>
    <t>赵宇豪</t>
  </si>
  <si>
    <t>18910789840</t>
  </si>
  <si>
    <t>6313730032206230007922</t>
  </si>
  <si>
    <t>余爱兰</t>
  </si>
  <si>
    <t>13552709076</t>
  </si>
  <si>
    <t>6313730032206230007876</t>
  </si>
  <si>
    <t>柳丽</t>
  </si>
  <si>
    <t>13681486830</t>
  </si>
  <si>
    <t>6313730032206230007939</t>
  </si>
  <si>
    <t>石林</t>
  </si>
  <si>
    <t>18610061398</t>
  </si>
  <si>
    <t>6313730032206230007941</t>
  </si>
  <si>
    <t>郑婷婷</t>
  </si>
  <si>
    <t>18300515663</t>
  </si>
  <si>
    <t>6313730032206230007951</t>
  </si>
  <si>
    <t>常祖德</t>
  </si>
  <si>
    <t>18265972127</t>
  </si>
  <si>
    <t>6313730032206230007911</t>
  </si>
  <si>
    <t>孟万强</t>
  </si>
  <si>
    <t>13833679149</t>
  </si>
  <si>
    <t>6313730032206230008399</t>
  </si>
  <si>
    <t>王思维</t>
  </si>
  <si>
    <t>13803084629</t>
  </si>
  <si>
    <t>6313730032206230008194</t>
  </si>
  <si>
    <t>方晓月</t>
  </si>
  <si>
    <t>18756868301</t>
  </si>
  <si>
    <t>6313730032206230008395</t>
  </si>
  <si>
    <t>鲁谦</t>
  </si>
  <si>
    <t>17756866680</t>
  </si>
  <si>
    <t>6313730032206230009530</t>
  </si>
  <si>
    <t>张如坤</t>
  </si>
  <si>
    <t>18721992858</t>
  </si>
  <si>
    <t>6313730032206230009531</t>
  </si>
  <si>
    <t>覃金鑫</t>
  </si>
  <si>
    <t>13867139998</t>
  </si>
  <si>
    <t>6313730032206230009519</t>
  </si>
  <si>
    <t>李伟敏</t>
  </si>
  <si>
    <t>13483615823</t>
  </si>
  <si>
    <t>6313730032206230009527</t>
  </si>
  <si>
    <t>杨德强</t>
  </si>
  <si>
    <t>15075677294</t>
  </si>
  <si>
    <t>6313730032206230009344</t>
  </si>
  <si>
    <t>屈俊杰</t>
  </si>
  <si>
    <t>13905587930</t>
  </si>
  <si>
    <t>6313730032206230009345</t>
  </si>
  <si>
    <t>伍易峰</t>
  </si>
  <si>
    <t>13466336503</t>
  </si>
  <si>
    <t>6313730032206230009515</t>
  </si>
  <si>
    <t>常军</t>
  </si>
  <si>
    <t>15350682220</t>
  </si>
  <si>
    <t>6313730032206230009505</t>
  </si>
  <si>
    <t>杜光辉</t>
  </si>
  <si>
    <t>13483622127</t>
  </si>
  <si>
    <t>6313730032206230008829</t>
  </si>
  <si>
    <t>邓军</t>
  </si>
  <si>
    <t>15210813368</t>
  </si>
  <si>
    <t>6313730032206230008830</t>
  </si>
  <si>
    <t>王祥祥</t>
  </si>
  <si>
    <t>15056821927</t>
  </si>
  <si>
    <t>6313730032206230008795</t>
  </si>
  <si>
    <t>秦尚平</t>
  </si>
  <si>
    <t>18712579016</t>
  </si>
  <si>
    <t>6313730032206230008766</t>
  </si>
  <si>
    <t>邹范明</t>
  </si>
  <si>
    <t>13522589878</t>
  </si>
  <si>
    <t>6313730032206230008883</t>
  </si>
  <si>
    <t>杨德洪</t>
  </si>
  <si>
    <t>13955887512</t>
  </si>
  <si>
    <t>6313730032206230007936</t>
  </si>
  <si>
    <t>何启斌</t>
  </si>
  <si>
    <t>13930660286</t>
  </si>
  <si>
    <t>6313730032206230007846</t>
  </si>
  <si>
    <t>王健</t>
  </si>
  <si>
    <t>18155860800</t>
  </si>
  <si>
    <t>6313730032206230007879</t>
  </si>
  <si>
    <t>王茜</t>
  </si>
  <si>
    <t>13833690496</t>
  </si>
  <si>
    <t>6313730032206230007821</t>
  </si>
  <si>
    <t>刘利</t>
  </si>
  <si>
    <t>18317007576</t>
  </si>
  <si>
    <t>6313730032206230007873</t>
  </si>
  <si>
    <t>郑荣</t>
  </si>
  <si>
    <t>13615684474</t>
  </si>
  <si>
    <t>6313730032206230007823</t>
  </si>
  <si>
    <t>13501373603</t>
  </si>
  <si>
    <t>6313730032206230007927</t>
  </si>
  <si>
    <t>韩朝年</t>
  </si>
  <si>
    <t>17733605812</t>
  </si>
  <si>
    <t>6313730032206230008113</t>
  </si>
  <si>
    <t>13651378020</t>
  </si>
  <si>
    <t>6313730032206230008103</t>
  </si>
  <si>
    <t>19905686099</t>
  </si>
  <si>
    <t>6313730032206230008145</t>
  </si>
  <si>
    <t>李国强</t>
  </si>
  <si>
    <t>18055856566</t>
  </si>
  <si>
    <t>6313730032206230007810</t>
  </si>
  <si>
    <t>罗王场</t>
  </si>
  <si>
    <t>18135705726</t>
  </si>
  <si>
    <t>6313730032206230007782</t>
  </si>
  <si>
    <t>汪红英</t>
  </si>
  <si>
    <t>17603706566</t>
  </si>
  <si>
    <t>6313730032206230009399</t>
  </si>
  <si>
    <t>黄美训</t>
  </si>
  <si>
    <t>13831632672</t>
  </si>
  <si>
    <t>6313730032206230009358</t>
  </si>
  <si>
    <t>雷菊红</t>
  </si>
  <si>
    <t>18096723633</t>
  </si>
  <si>
    <t>6313730032206230009364</t>
  </si>
  <si>
    <t>张强</t>
  </si>
  <si>
    <t>13931605276</t>
  </si>
  <si>
    <t>6313730032206230009385</t>
  </si>
  <si>
    <t>梁绍芝</t>
  </si>
  <si>
    <t>13855825298</t>
  </si>
  <si>
    <t>6313730032206230009407</t>
  </si>
  <si>
    <t>张爱平</t>
  </si>
  <si>
    <t>18712572879</t>
  </si>
  <si>
    <t>6313730032206230008845</t>
  </si>
  <si>
    <t>庞傲峰</t>
  </si>
  <si>
    <t>13341179458</t>
  </si>
  <si>
    <t>6313730032206230008809</t>
  </si>
  <si>
    <t>黄仁云</t>
  </si>
  <si>
    <t>13833629755</t>
  </si>
  <si>
    <t>6313730032206230008584</t>
  </si>
  <si>
    <t>唐玲</t>
  </si>
  <si>
    <t>15311185758</t>
  </si>
  <si>
    <t>6313730032206230007808</t>
  </si>
  <si>
    <t>胡金叶</t>
  </si>
  <si>
    <t>18355218973</t>
  </si>
  <si>
    <t>6313730032206230007859</t>
  </si>
  <si>
    <t>黄伶俐</t>
  </si>
  <si>
    <t>13754114428</t>
  </si>
  <si>
    <t>6313730032206230007830</t>
  </si>
  <si>
    <t>刘耀雄</t>
  </si>
  <si>
    <t>15385849309</t>
  </si>
  <si>
    <t>6313730032206230007795</t>
  </si>
  <si>
    <t>晏梦</t>
  </si>
  <si>
    <t>13931618351</t>
  </si>
  <si>
    <t>6313730032206230007701</t>
  </si>
  <si>
    <t>哀一良</t>
  </si>
  <si>
    <t>15127666837</t>
  </si>
  <si>
    <t>6313730032206230007628</t>
  </si>
  <si>
    <t>彭芬</t>
  </si>
  <si>
    <t>18618268635</t>
  </si>
  <si>
    <t>6313730032206230007622</t>
  </si>
  <si>
    <t>文全元</t>
  </si>
  <si>
    <t>13855804016</t>
  </si>
  <si>
    <t>6313730032206230009340</t>
  </si>
  <si>
    <t>余卫国</t>
  </si>
  <si>
    <t>13613368622</t>
  </si>
  <si>
    <t>6313730032206230009380</t>
  </si>
  <si>
    <t>邹宇凤</t>
  </si>
  <si>
    <t>18733648309</t>
  </si>
  <si>
    <t>6313730032206230009470</t>
  </si>
  <si>
    <t>孔梦易</t>
  </si>
  <si>
    <t>6313730032206230009200</t>
  </si>
  <si>
    <t>唐晨晨</t>
  </si>
  <si>
    <t>13955879201</t>
  </si>
  <si>
    <t>6313730032206230009170</t>
  </si>
  <si>
    <t>陈娅莉</t>
  </si>
  <si>
    <t>13966582627</t>
  </si>
  <si>
    <t>6313730032206230009469</t>
  </si>
  <si>
    <t>黄万新</t>
  </si>
  <si>
    <t>13171735902</t>
  </si>
  <si>
    <t>6313730032206230009477</t>
  </si>
  <si>
    <t>陈精卫</t>
  </si>
  <si>
    <t>13932631552</t>
  </si>
  <si>
    <t>6313730032206230009478</t>
  </si>
  <si>
    <t>王雄</t>
  </si>
  <si>
    <t>18298119600</t>
  </si>
  <si>
    <t>6313730032206230009436</t>
  </si>
  <si>
    <t>许峰</t>
  </si>
  <si>
    <t>19930509583</t>
  </si>
  <si>
    <t>6313730032206230009377</t>
  </si>
  <si>
    <t>何健健</t>
  </si>
  <si>
    <t>17732630428</t>
  </si>
  <si>
    <t>6313730032206230009350</t>
  </si>
  <si>
    <t>曹昌红</t>
  </si>
  <si>
    <t>13331276888</t>
  </si>
  <si>
    <t>6313730032206230009411</t>
  </si>
  <si>
    <t>程原兰</t>
  </si>
  <si>
    <t>17733356372</t>
  </si>
  <si>
    <t>6313730032206230008560</t>
  </si>
  <si>
    <t>周巧</t>
  </si>
  <si>
    <t>15055846194</t>
  </si>
  <si>
    <t>6313730032206230008561</t>
  </si>
  <si>
    <t>张国蓉</t>
  </si>
  <si>
    <t>13785499124</t>
  </si>
  <si>
    <t>6313730032206230008593</t>
  </si>
  <si>
    <t>江汉玉</t>
  </si>
  <si>
    <t>13472353635</t>
  </si>
  <si>
    <t>6313730032206230008471</t>
  </si>
  <si>
    <t>孙正兰</t>
  </si>
  <si>
    <t>18131661726</t>
  </si>
  <si>
    <t>6313730032206230007647</t>
  </si>
  <si>
    <t>易招</t>
  </si>
  <si>
    <t>13731603819</t>
  </si>
  <si>
    <t>6313730032206230007520</t>
  </si>
  <si>
    <t>崔新红</t>
  </si>
  <si>
    <t>15703171991</t>
  </si>
  <si>
    <t>6313730032206230007493</t>
  </si>
  <si>
    <t>彭大江</t>
  </si>
  <si>
    <t>18031790083</t>
  </si>
  <si>
    <t>6313730032206230007589</t>
  </si>
  <si>
    <t>黄海华</t>
  </si>
  <si>
    <t>15955811659</t>
  </si>
  <si>
    <t>6313730032206230008933</t>
  </si>
  <si>
    <t>张艳</t>
  </si>
  <si>
    <t>15611291777</t>
  </si>
  <si>
    <t>6313730032206230008967</t>
  </si>
  <si>
    <t>赵清双</t>
  </si>
  <si>
    <t>13932304251</t>
  </si>
  <si>
    <t>6313730032206230009140</t>
  </si>
  <si>
    <t>伍军</t>
  </si>
  <si>
    <t>15375588636</t>
  </si>
  <si>
    <t>6313730032206230009227</t>
  </si>
  <si>
    <t>穆明星</t>
  </si>
  <si>
    <t>18726558825</t>
  </si>
  <si>
    <t>6313730032206230009024</t>
  </si>
  <si>
    <t>张文仲</t>
  </si>
  <si>
    <t>18955854759</t>
  </si>
  <si>
    <t>6313730032206230009044</t>
  </si>
  <si>
    <t>李友菊</t>
  </si>
  <si>
    <t>18731695014</t>
  </si>
  <si>
    <t>6313730032206230009511</t>
  </si>
  <si>
    <t>田平</t>
  </si>
  <si>
    <t>13473687232</t>
  </si>
  <si>
    <t>6313730032206230009506</t>
  </si>
  <si>
    <t>刘飞</t>
  </si>
  <si>
    <t>15399675353</t>
  </si>
  <si>
    <t>6313730032206230008485</t>
  </si>
  <si>
    <t>王性刚</t>
  </si>
  <si>
    <t>17736778827</t>
  </si>
  <si>
    <t>6313730032206230008448</t>
  </si>
  <si>
    <t>唐利平</t>
  </si>
  <si>
    <t>18051963127</t>
  </si>
  <si>
    <t>6313730032206230008678</t>
  </si>
  <si>
    <t>张星</t>
  </si>
  <si>
    <t>13463612756</t>
  </si>
  <si>
    <t>6313730032206230007758</t>
  </si>
  <si>
    <t>刘小莉</t>
  </si>
  <si>
    <t>18833683666</t>
  </si>
  <si>
    <t>6313730032206230007636</t>
  </si>
  <si>
    <t>陈玲玲</t>
  </si>
  <si>
    <t>13784818566</t>
  </si>
  <si>
    <t>6313730032206230008758</t>
  </si>
  <si>
    <t>刘洪胜</t>
  </si>
  <si>
    <t>15558889816</t>
  </si>
  <si>
    <t>6313730032220230000031</t>
  </si>
  <si>
    <t>张先梅</t>
  </si>
  <si>
    <t>13931612665</t>
  </si>
  <si>
    <t>6313730032206230008484</t>
  </si>
  <si>
    <t>杨俊</t>
  </si>
  <si>
    <t>17611488086</t>
  </si>
  <si>
    <t>6313730032206230009048</t>
  </si>
  <si>
    <t>雷波</t>
  </si>
  <si>
    <t>18222316416</t>
  </si>
  <si>
    <t>6313730032206230008973</t>
  </si>
  <si>
    <t>陈忠鹏</t>
  </si>
  <si>
    <t>13784770573</t>
  </si>
  <si>
    <t>6313730032206230009023</t>
  </si>
  <si>
    <t>李公军</t>
  </si>
  <si>
    <t>18901028616</t>
  </si>
  <si>
    <t>6313730032206230009425</t>
  </si>
  <si>
    <t>蒋丹宁</t>
  </si>
  <si>
    <t>15030765630</t>
  </si>
  <si>
    <t>6313730032206230009342</t>
  </si>
  <si>
    <t>刘霞英</t>
  </si>
  <si>
    <t>18755815756</t>
  </si>
  <si>
    <t>6313730032206230009379</t>
  </si>
  <si>
    <t>谭耀梅</t>
  </si>
  <si>
    <t>15855584489</t>
  </si>
  <si>
    <t>6313730032206230008501</t>
  </si>
  <si>
    <t>沈萍</t>
  </si>
  <si>
    <t>15551610369</t>
  </si>
  <si>
    <t>6313730032206230008665</t>
  </si>
  <si>
    <t>王小红</t>
  </si>
  <si>
    <t>13391542040</t>
  </si>
  <si>
    <t>6313730032206230008543</t>
  </si>
  <si>
    <t>徐曼莉</t>
  </si>
  <si>
    <t>18755801326</t>
  </si>
  <si>
    <t>6313730032206230008661</t>
  </si>
  <si>
    <t>尚万贵</t>
  </si>
  <si>
    <t>15955849983</t>
  </si>
  <si>
    <t>6313730032206230007609</t>
  </si>
  <si>
    <t>18855876873</t>
  </si>
  <si>
    <t>6313730032206230007738</t>
  </si>
  <si>
    <t>周华</t>
  </si>
  <si>
    <t>15956871869</t>
  </si>
  <si>
    <t>6313730032206230007709</t>
  </si>
  <si>
    <t>汪志华</t>
  </si>
  <si>
    <t>18110527593</t>
  </si>
  <si>
    <t>6313730032206230007682</t>
  </si>
  <si>
    <t>13505673348</t>
  </si>
  <si>
    <t>6313730032206230007598</t>
  </si>
  <si>
    <t>卢燕平</t>
  </si>
  <si>
    <t>18630615666</t>
  </si>
  <si>
    <t>6313730032206230009214</t>
  </si>
  <si>
    <t>徐珊珊</t>
  </si>
  <si>
    <t>13240738828</t>
  </si>
  <si>
    <t>6313730032206230008482</t>
  </si>
  <si>
    <t>张文明</t>
  </si>
  <si>
    <t>13512882486</t>
  </si>
  <si>
    <t>6313730032206230008442</t>
  </si>
  <si>
    <t>董晟驰</t>
  </si>
  <si>
    <t>18633772730</t>
  </si>
  <si>
    <t>6313730032206230009418</t>
  </si>
  <si>
    <t>李叶兰</t>
  </si>
  <si>
    <t>18631638738</t>
  </si>
  <si>
    <t>6313730032206230009388</t>
  </si>
  <si>
    <t>焦列伟</t>
  </si>
  <si>
    <t>13931608978</t>
  </si>
  <si>
    <t>6313730032206230009256</t>
  </si>
  <si>
    <t>陈莎</t>
  </si>
  <si>
    <t>18032611775</t>
  </si>
  <si>
    <t>6313730032206230008511</t>
  </si>
  <si>
    <t>廖伟</t>
  </si>
  <si>
    <t>18810355728</t>
  </si>
  <si>
    <t>6313730032206230008536</t>
  </si>
  <si>
    <t>张威</t>
  </si>
  <si>
    <t>18325965493</t>
  </si>
  <si>
    <t>6313730032206230008513</t>
  </si>
  <si>
    <t>曹碧荣</t>
  </si>
  <si>
    <t>15058018449</t>
  </si>
  <si>
    <t>6313730032206230007498</t>
  </si>
  <si>
    <t>张林平</t>
  </si>
  <si>
    <t>13503241233</t>
  </si>
  <si>
    <t>6313730032206230007600</t>
  </si>
  <si>
    <t>陈锋</t>
  </si>
  <si>
    <t>13269009888</t>
  </si>
  <si>
    <t>6313730032206230007530</t>
  </si>
  <si>
    <t>贺凯丽</t>
  </si>
  <si>
    <t>13930622524</t>
  </si>
  <si>
    <t>6313730032206230007592</t>
  </si>
  <si>
    <t>郑以凤</t>
  </si>
  <si>
    <t>15398158996</t>
  </si>
  <si>
    <t>6313730032206230008739</t>
  </si>
  <si>
    <t>翁尧尧</t>
  </si>
  <si>
    <t>15081466373</t>
  </si>
  <si>
    <t>6313730032206230008811</t>
  </si>
  <si>
    <t>樊泽红</t>
  </si>
  <si>
    <t>13866216573</t>
  </si>
  <si>
    <t>6313730032206230008614</t>
  </si>
  <si>
    <t>18631603885</t>
  </si>
  <si>
    <t>6313730032206230008498</t>
  </si>
  <si>
    <t>熊倩</t>
  </si>
  <si>
    <t>18255173655</t>
  </si>
  <si>
    <t>6313730032206230008213</t>
  </si>
  <si>
    <t>吕梦华</t>
  </si>
  <si>
    <t>15210815875</t>
  </si>
  <si>
    <t>6313730032206230008310</t>
  </si>
  <si>
    <t>13866219882</t>
  </si>
  <si>
    <t>6313730032206230008520</t>
  </si>
  <si>
    <t>陈智</t>
  </si>
  <si>
    <t>13520172208</t>
  </si>
  <si>
    <t>6313730032206230008234</t>
  </si>
  <si>
    <t>李章杰</t>
  </si>
  <si>
    <t>18632659131</t>
  </si>
  <si>
    <t>6313730032206230008405</t>
  </si>
  <si>
    <t>孙汉军</t>
  </si>
  <si>
    <t>18956737712</t>
  </si>
  <si>
    <t>6313730032206230008334</t>
  </si>
  <si>
    <t>彭凤兰</t>
  </si>
  <si>
    <t>18649133985</t>
  </si>
  <si>
    <t>6313730032206230008328</t>
  </si>
  <si>
    <t>方安生</t>
  </si>
  <si>
    <t>18732656950</t>
  </si>
  <si>
    <t>6313730032206230009204</t>
  </si>
  <si>
    <t>毕绪平</t>
  </si>
  <si>
    <t>15103269805</t>
  </si>
  <si>
    <t>6313730032206230009276</t>
  </si>
  <si>
    <t>代中菊</t>
  </si>
  <si>
    <t>13866267249</t>
  </si>
  <si>
    <t>6313730032206230009203</t>
  </si>
  <si>
    <t>刘菊霞</t>
  </si>
  <si>
    <t>15030625333</t>
  </si>
  <si>
    <t>6313730032206230009193</t>
  </si>
  <si>
    <t>曾建</t>
  </si>
  <si>
    <t>18325896529</t>
  </si>
  <si>
    <t>6313730032206230008455</t>
  </si>
  <si>
    <t>王道林</t>
  </si>
  <si>
    <t>6313730032206230008556</t>
  </si>
  <si>
    <t>朱少华</t>
  </si>
  <si>
    <t>13966824919</t>
  </si>
  <si>
    <t>6313730032206230007558</t>
  </si>
  <si>
    <t>崔玲</t>
  </si>
  <si>
    <t>13470793299</t>
  </si>
  <si>
    <t>6313730032206230007512</t>
  </si>
  <si>
    <t>杜南山</t>
  </si>
  <si>
    <t>15620634410</t>
  </si>
  <si>
    <t>6313730032206230008323</t>
  </si>
  <si>
    <t>杨林祥</t>
  </si>
  <si>
    <t>13833695955</t>
  </si>
  <si>
    <t>6313730032206230008189</t>
  </si>
  <si>
    <t>刘球</t>
  </si>
  <si>
    <t>15215588677</t>
  </si>
  <si>
    <t>6313730032206230007801</t>
  </si>
  <si>
    <t>毛兴海</t>
  </si>
  <si>
    <t>13866267290</t>
  </si>
  <si>
    <t>6313730032206230008759</t>
  </si>
  <si>
    <t>雷涛</t>
  </si>
  <si>
    <t>13810784693</t>
  </si>
  <si>
    <t>6313730032206230008344</t>
  </si>
  <si>
    <t>魏尚春</t>
  </si>
  <si>
    <t>17356927205</t>
  </si>
  <si>
    <t>6313730032206230008222</t>
  </si>
  <si>
    <t>张体美</t>
  </si>
  <si>
    <t>15856890311</t>
  </si>
  <si>
    <t>6313730032206230008357</t>
  </si>
  <si>
    <t>13635683678</t>
  </si>
  <si>
    <t>6313730032206230008308</t>
  </si>
  <si>
    <t>张梅中</t>
  </si>
  <si>
    <t>15055520325</t>
  </si>
  <si>
    <t>6313730032206230008252</t>
  </si>
  <si>
    <t>徐春</t>
  </si>
  <si>
    <t>13582668637</t>
  </si>
  <si>
    <t>6313730032206230008430</t>
  </si>
  <si>
    <t>佘红霞</t>
  </si>
  <si>
    <t>15256893815</t>
  </si>
  <si>
    <t>6313730032206230008267</t>
  </si>
  <si>
    <t>方安春</t>
  </si>
  <si>
    <t>13898117016</t>
  </si>
  <si>
    <t>6313730032206230008217</t>
  </si>
  <si>
    <t>龚宪玲</t>
  </si>
  <si>
    <t>13866282343</t>
  </si>
  <si>
    <t>6313730032206230009306</t>
  </si>
  <si>
    <t>龚天豪</t>
  </si>
  <si>
    <t>18298190621</t>
  </si>
  <si>
    <t>6313730032206230008462</t>
  </si>
  <si>
    <t>李祖玉</t>
  </si>
  <si>
    <t>15357879075</t>
  </si>
  <si>
    <t>6313730032206230008314</t>
  </si>
  <si>
    <t>18155836501</t>
  </si>
  <si>
    <t>6313730032206230008296</t>
  </si>
  <si>
    <t>王君彪</t>
  </si>
  <si>
    <t>17600208561</t>
  </si>
  <si>
    <t>6313730032206230008343</t>
  </si>
  <si>
    <t>刘娟娟</t>
  </si>
  <si>
    <t>13515584688</t>
  </si>
  <si>
    <t>6313730032206230008423</t>
  </si>
  <si>
    <t>赵海林</t>
  </si>
  <si>
    <t>13195588367</t>
  </si>
  <si>
    <t>6313730032206230007575</t>
  </si>
  <si>
    <t>董治光</t>
  </si>
  <si>
    <t>13855876932</t>
  </si>
  <si>
    <t>6313730032206230007517</t>
  </si>
  <si>
    <t>熊作秀</t>
  </si>
  <si>
    <t>15255885696</t>
  </si>
  <si>
    <t>6313730032206230007542</t>
  </si>
  <si>
    <t>鄢尚</t>
  </si>
  <si>
    <t>18844903103</t>
  </si>
  <si>
    <t>6313730032206230007543</t>
  </si>
  <si>
    <t>张义芬</t>
  </si>
  <si>
    <t>15255825068</t>
  </si>
  <si>
    <t>6313730032206230008199</t>
  </si>
  <si>
    <t>陈洪</t>
  </si>
  <si>
    <t>13931626609</t>
  </si>
  <si>
    <t>6313730032206230008365</t>
  </si>
  <si>
    <t>伍学玉</t>
  </si>
  <si>
    <t>13966837883</t>
  </si>
  <si>
    <t>6313730032206230008289</t>
  </si>
  <si>
    <t>王征兵</t>
  </si>
  <si>
    <t>13893386771</t>
  </si>
  <si>
    <t>6313730032206230008422</t>
  </si>
  <si>
    <t>洪桂枝</t>
  </si>
  <si>
    <t>13603367279</t>
  </si>
  <si>
    <t>6313730032206230009201</t>
  </si>
  <si>
    <t>秦祖梅</t>
  </si>
  <si>
    <t>17398358169</t>
  </si>
  <si>
    <t>6313730032206230008306</t>
  </si>
  <si>
    <t>许开慧</t>
  </si>
  <si>
    <t>15512628369</t>
  </si>
  <si>
    <t>6313730032206230008261</t>
  </si>
  <si>
    <t>董丘</t>
  </si>
  <si>
    <t>18155879200</t>
  </si>
  <si>
    <t>6313730032206230008221</t>
  </si>
  <si>
    <t>肖宇</t>
  </si>
  <si>
    <t>18655437765</t>
  </si>
  <si>
    <t>6313730032206230008305</t>
  </si>
  <si>
    <t>17621080253</t>
  </si>
  <si>
    <t>6313730032206230008266</t>
  </si>
  <si>
    <t>李龙灿</t>
  </si>
  <si>
    <t>13855832928</t>
  </si>
  <si>
    <t>6313730032206230008206</t>
  </si>
  <si>
    <t>罗秋兰</t>
  </si>
  <si>
    <t>13865852398</t>
  </si>
  <si>
    <t>6313730032206230007459</t>
  </si>
  <si>
    <t>陈清莲</t>
  </si>
  <si>
    <t>15905582985</t>
  </si>
  <si>
    <t>6313730032206230008354</t>
  </si>
  <si>
    <t>吕朦</t>
  </si>
  <si>
    <t>15910744897</t>
  </si>
  <si>
    <t>6313730032206230008345</t>
  </si>
  <si>
    <t>13615683251</t>
  </si>
  <si>
    <t>6313730032206230008352</t>
  </si>
  <si>
    <t>张丽</t>
  </si>
  <si>
    <t>18325978471</t>
  </si>
  <si>
    <t>6313730032206230008069</t>
  </si>
  <si>
    <t>包琼超</t>
  </si>
  <si>
    <t>15255585585</t>
  </si>
  <si>
    <t>6313730032206230009097</t>
  </si>
  <si>
    <t>李名鑫</t>
  </si>
  <si>
    <t>13832689366</t>
  </si>
  <si>
    <t>6313730032206230009233</t>
  </si>
  <si>
    <t>胡少林</t>
  </si>
  <si>
    <t>13805580464</t>
  </si>
  <si>
    <t>6313730032206230009103</t>
  </si>
  <si>
    <t>林园</t>
  </si>
  <si>
    <t>18500221412</t>
  </si>
  <si>
    <t>6313730032206230009099</t>
  </si>
  <si>
    <t>黄齐琪</t>
  </si>
  <si>
    <t>15255887790</t>
  </si>
  <si>
    <t>6313730032206230009304</t>
  </si>
  <si>
    <t>朱睿</t>
  </si>
  <si>
    <t>13931610872</t>
  </si>
  <si>
    <t>6313730032206230008368</t>
  </si>
  <si>
    <t>杨亮</t>
  </si>
  <si>
    <t>15100624893</t>
  </si>
  <si>
    <t>6313730032206230008204</t>
  </si>
  <si>
    <t>刘尚金</t>
  </si>
  <si>
    <t>18154070586</t>
  </si>
  <si>
    <t>6313730032206230008254</t>
  </si>
  <si>
    <t>汪长梅</t>
  </si>
  <si>
    <t>15933633567</t>
  </si>
  <si>
    <t>6313730032206230008277</t>
  </si>
  <si>
    <t>卢丽</t>
  </si>
  <si>
    <t>13473672694</t>
  </si>
  <si>
    <t>6313730032206230008242</t>
  </si>
  <si>
    <t>李建霞</t>
  </si>
  <si>
    <t>13333260779</t>
  </si>
  <si>
    <t>6313730032206230009459</t>
  </si>
  <si>
    <t>何亮君</t>
  </si>
  <si>
    <t>15100724745</t>
  </si>
  <si>
    <t>6313730032206230009467</t>
  </si>
  <si>
    <t>陈莉</t>
  </si>
  <si>
    <t>13845824877</t>
  </si>
  <si>
    <t>6313730032206230009400</t>
  </si>
  <si>
    <t>吴恩恩</t>
  </si>
  <si>
    <t>13785666394</t>
  </si>
  <si>
    <t>6313730032206230009351</t>
  </si>
  <si>
    <t>杨晓琼</t>
  </si>
  <si>
    <t>15243323332</t>
  </si>
  <si>
    <t>6313730032206230009337</t>
  </si>
  <si>
    <t>张又香</t>
  </si>
  <si>
    <t>13513010984</t>
  </si>
  <si>
    <t>6313730032206230008012</t>
  </si>
  <si>
    <t>尤开兰</t>
  </si>
  <si>
    <t>15132632863</t>
  </si>
  <si>
    <t>6313730032206230008072</t>
  </si>
  <si>
    <t>王卫</t>
  </si>
  <si>
    <t>18226319624</t>
  </si>
  <si>
    <t>6313730032206230008120</t>
  </si>
  <si>
    <t>陈启义</t>
  </si>
  <si>
    <t>18321629518</t>
  </si>
  <si>
    <t>6313730032206230007981</t>
  </si>
  <si>
    <t>柳丹</t>
  </si>
  <si>
    <t>15055557581</t>
  </si>
  <si>
    <t>6313730032206230008048</t>
  </si>
  <si>
    <t>何梅先</t>
  </si>
  <si>
    <t>15956850200</t>
  </si>
  <si>
    <t>6313730032206230009094</t>
  </si>
  <si>
    <t>朱华枚</t>
  </si>
  <si>
    <t>17201765434</t>
  </si>
  <si>
    <t>6313730032206230009237</t>
  </si>
  <si>
    <t>阮修翠</t>
  </si>
  <si>
    <t>13966829393</t>
  </si>
  <si>
    <t>6313730032206230009081</t>
  </si>
  <si>
    <t>展雲</t>
  </si>
  <si>
    <t>19155858752</t>
  </si>
  <si>
    <t>6313730032206230008935</t>
  </si>
  <si>
    <t>黄平海</t>
  </si>
  <si>
    <t>18226851922</t>
  </si>
  <si>
    <t>6313730032206230008097</t>
  </si>
  <si>
    <t>林红</t>
  </si>
  <si>
    <t>13722643767</t>
  </si>
  <si>
    <t>6313730032206230009152</t>
  </si>
  <si>
    <t>14403263703</t>
  </si>
  <si>
    <t>6313730032206230009316</t>
  </si>
  <si>
    <t>罗晨</t>
  </si>
  <si>
    <t>13505688074</t>
  </si>
  <si>
    <t>6313730032206230009202</t>
  </si>
  <si>
    <t>刘沁</t>
  </si>
  <si>
    <t>15856792556</t>
  </si>
  <si>
    <t>6313730032206230009308</t>
  </si>
  <si>
    <t>王芳</t>
  </si>
  <si>
    <t>15155842211</t>
  </si>
  <si>
    <t>6313730032206230008081</t>
  </si>
  <si>
    <t>杜江毅</t>
  </si>
  <si>
    <t>13955872252</t>
  </si>
  <si>
    <t>6313730032206230007999</t>
  </si>
  <si>
    <t>杨玉梅</t>
  </si>
  <si>
    <t>17555187992</t>
  </si>
  <si>
    <t>6313730032206230008114</t>
  </si>
  <si>
    <t>肖玄</t>
  </si>
  <si>
    <t>13156789776</t>
  </si>
  <si>
    <t>6313730032206230008125</t>
  </si>
  <si>
    <t>郭光前</t>
  </si>
  <si>
    <t>13515581014</t>
  </si>
  <si>
    <t>6313730032206230009065</t>
  </si>
  <si>
    <t>唐新</t>
  </si>
  <si>
    <t>13761666576</t>
  </si>
  <si>
    <t>6313730032206230008985</t>
  </si>
  <si>
    <t>吴平</t>
  </si>
  <si>
    <t>18355831132</t>
  </si>
  <si>
    <t>6313730032206230008028</t>
  </si>
  <si>
    <t>毛俊岑</t>
  </si>
  <si>
    <t>18456019914</t>
  </si>
  <si>
    <t>6313730032206230009143</t>
  </si>
  <si>
    <t>聂飞</t>
  </si>
  <si>
    <t>15321785226</t>
  </si>
  <si>
    <t>6313730032206230009119</t>
  </si>
  <si>
    <t>贺国忠</t>
  </si>
  <si>
    <t>18726598900</t>
  </si>
  <si>
    <t>6313730032206230009182</t>
  </si>
  <si>
    <t>刘亚婷</t>
  </si>
  <si>
    <t>13681971509</t>
  </si>
  <si>
    <t>6313730032206230008961</t>
  </si>
  <si>
    <t>马义</t>
  </si>
  <si>
    <t>15956885186</t>
  </si>
  <si>
    <t>6313730032206230008031</t>
  </si>
  <si>
    <t>林玉春</t>
  </si>
  <si>
    <t>18067119222</t>
  </si>
  <si>
    <t>6313730032206230007802</t>
  </si>
  <si>
    <t>雷静</t>
  </si>
  <si>
    <t>15069232509</t>
  </si>
  <si>
    <t>6313730032206230007848</t>
  </si>
  <si>
    <t>孙清艳</t>
  </si>
  <si>
    <t>19166157503</t>
  </si>
  <si>
    <t>6313730032206230007920</t>
  </si>
  <si>
    <t>王明月</t>
  </si>
  <si>
    <t>15955856083</t>
  </si>
  <si>
    <t>6313730032206230007875</t>
  </si>
  <si>
    <t>张宝珍</t>
  </si>
  <si>
    <t>15956848309</t>
  </si>
  <si>
    <t>6313730032206230009008</t>
  </si>
  <si>
    <t>曹秀碧</t>
  </si>
  <si>
    <t>18301971170</t>
  </si>
  <si>
    <t>6313730032206230008942</t>
  </si>
  <si>
    <t>陶春梅</t>
  </si>
  <si>
    <t>13966565993</t>
  </si>
  <si>
    <t>6313730032206230008956</t>
  </si>
  <si>
    <t>陶纯</t>
  </si>
  <si>
    <t>15055515607</t>
  </si>
  <si>
    <t>6313730032206230008174</t>
  </si>
  <si>
    <t>周宏勇</t>
  </si>
  <si>
    <t>18133140607</t>
  </si>
  <si>
    <t>6313730032206230009021</t>
  </si>
  <si>
    <t>代林娥</t>
  </si>
  <si>
    <t>13275586027</t>
  </si>
  <si>
    <t>6313730032206230007723</t>
  </si>
  <si>
    <t>刘小芹</t>
  </si>
  <si>
    <t>19826453538</t>
  </si>
  <si>
    <t>6313730032206230008951</t>
  </si>
  <si>
    <t>温美姣</t>
  </si>
  <si>
    <t>18701191863</t>
  </si>
  <si>
    <t>6313730032206230008917</t>
  </si>
  <si>
    <t>周燕桃</t>
  </si>
  <si>
    <t>15178180120</t>
  </si>
  <si>
    <t>6313730032206230008895</t>
  </si>
  <si>
    <t>赵春荣</t>
  </si>
  <si>
    <t>18031697036</t>
  </si>
  <si>
    <t>6313730032206230008027</t>
  </si>
  <si>
    <t>谢春龙</t>
  </si>
  <si>
    <t>15255888990</t>
  </si>
  <si>
    <t>6313730032206230008094</t>
  </si>
  <si>
    <t>13505685587</t>
  </si>
  <si>
    <t>6313730032206230008823</t>
  </si>
  <si>
    <t>13581666780</t>
  </si>
  <si>
    <t>6313730032206230008847</t>
  </si>
  <si>
    <t>刘群</t>
  </si>
  <si>
    <t>15955822927</t>
  </si>
  <si>
    <t>6313730032206230008694</t>
  </si>
  <si>
    <t>15076608836</t>
  </si>
  <si>
    <t>6313730032206230008796</t>
  </si>
  <si>
    <t>邹淑华</t>
  </si>
  <si>
    <t>13965559562</t>
  </si>
  <si>
    <t>6313730032206230008554</t>
  </si>
  <si>
    <t>黄卫</t>
  </si>
  <si>
    <t>13705679058</t>
  </si>
  <si>
    <t>6313730032206230008559</t>
  </si>
  <si>
    <t>杨红瑛</t>
  </si>
  <si>
    <t>13565047869</t>
  </si>
  <si>
    <t>6313730032206230007500</t>
  </si>
  <si>
    <t>付志艳</t>
  </si>
  <si>
    <t>13355580979</t>
  </si>
  <si>
    <t>6313730032206230007587</t>
  </si>
  <si>
    <t>金方玉</t>
  </si>
  <si>
    <t>15955823837</t>
  </si>
  <si>
    <t>6313730032206230007487</t>
  </si>
  <si>
    <t>李春硕</t>
  </si>
  <si>
    <t>18726586888</t>
  </si>
  <si>
    <t>6313730032206230008787</t>
  </si>
  <si>
    <t>李冰</t>
  </si>
  <si>
    <t>13253110555</t>
  </si>
  <si>
    <t>6313730032206230008751</t>
  </si>
  <si>
    <t>何江鄂</t>
  </si>
  <si>
    <t>15133659389</t>
  </si>
  <si>
    <t>6313730032206230008730</t>
  </si>
  <si>
    <t>吴婷婷</t>
  </si>
  <si>
    <t>13805584094</t>
  </si>
  <si>
    <t>6313730032206230008825</t>
  </si>
  <si>
    <t>习敏芳</t>
  </si>
  <si>
    <t>15398118828</t>
  </si>
  <si>
    <t>6313730032206230007769</t>
  </si>
  <si>
    <t>刘珊</t>
  </si>
  <si>
    <t>13955809845</t>
  </si>
  <si>
    <t>6313730032206230007800</t>
  </si>
  <si>
    <t>郑美华</t>
  </si>
  <si>
    <t>13623162944</t>
  </si>
  <si>
    <t>6313730032206230007839</t>
  </si>
  <si>
    <t>胡振威</t>
  </si>
  <si>
    <t>15731639627</t>
  </si>
  <si>
    <t>6313730032206230007853</t>
  </si>
  <si>
    <t>柳杨杰</t>
  </si>
  <si>
    <t>13785697132</t>
  </si>
  <si>
    <t>6313730032206230007900</t>
  </si>
  <si>
    <t>郝一峰</t>
  </si>
  <si>
    <t>17716596284</t>
  </si>
  <si>
    <t>6313730032206230007832</t>
  </si>
  <si>
    <t>黄孝洲</t>
  </si>
  <si>
    <t>13833694625</t>
  </si>
  <si>
    <t>6313730032206230008490</t>
  </si>
  <si>
    <t>文琼</t>
  </si>
  <si>
    <t>15103261759</t>
  </si>
  <si>
    <t>6313730032206230008548</t>
  </si>
  <si>
    <t>秦思</t>
  </si>
  <si>
    <t>15300031816</t>
  </si>
  <si>
    <t>6313730032206230008488</t>
  </si>
  <si>
    <t>付凡</t>
  </si>
  <si>
    <t>13515678574</t>
  </si>
  <si>
    <t>6313730032206230008497</t>
  </si>
  <si>
    <t>尹本双</t>
  </si>
  <si>
    <t>18034461953</t>
  </si>
  <si>
    <t>6313730032206230007447</t>
  </si>
  <si>
    <t>余书霞</t>
  </si>
  <si>
    <t>18311477857</t>
  </si>
  <si>
    <t>6313730032206230007434</t>
  </si>
  <si>
    <t>刘庆华</t>
  </si>
  <si>
    <t>15822257535</t>
  </si>
  <si>
    <t>6313730032206230007466</t>
  </si>
  <si>
    <t>王元堤</t>
  </si>
  <si>
    <t>13722635866</t>
  </si>
  <si>
    <t>6313730032206230009564</t>
  </si>
  <si>
    <t>张贺</t>
  </si>
  <si>
    <t>17325672222</t>
  </si>
  <si>
    <t>6313730032206230009542</t>
  </si>
  <si>
    <t>黄枝秀</t>
  </si>
  <si>
    <t>15531690629</t>
  </si>
  <si>
    <t>6313730032206230009547</t>
  </si>
  <si>
    <t>胡丽</t>
  </si>
  <si>
    <t>15203362261</t>
  </si>
  <si>
    <t>6313730032206230008834</t>
  </si>
  <si>
    <t>15833166967</t>
  </si>
  <si>
    <t>6313730032206230008860</t>
  </si>
  <si>
    <t>刘桂中</t>
  </si>
  <si>
    <t>18920131229</t>
  </si>
  <si>
    <t>6313730032206230008843</t>
  </si>
  <si>
    <t>张家雄</t>
  </si>
  <si>
    <t>15618506558</t>
  </si>
  <si>
    <t>6313730032206230008763</t>
  </si>
  <si>
    <t>任云婷</t>
  </si>
  <si>
    <t>13635681142</t>
  </si>
  <si>
    <t>6313730032206230008764</t>
  </si>
  <si>
    <t>李自正</t>
  </si>
  <si>
    <t>15055898877</t>
  </si>
  <si>
    <t>6313730032206230008731</t>
  </si>
  <si>
    <t>方宇</t>
  </si>
  <si>
    <t>13784463340</t>
  </si>
  <si>
    <t>6313730032206230008797</t>
  </si>
  <si>
    <t>13785474159</t>
  </si>
  <si>
    <t>6313730032206230008364</t>
  </si>
  <si>
    <t>刘龙华</t>
  </si>
  <si>
    <t>17356890968</t>
  </si>
  <si>
    <t>6313730032206230008397</t>
  </si>
  <si>
    <t>李林瑞</t>
  </si>
  <si>
    <t>13866221061</t>
  </si>
  <si>
    <t>6313730032206230008202</t>
  </si>
  <si>
    <t>代小辉</t>
  </si>
  <si>
    <t>13866222007</t>
  </si>
  <si>
    <t>6313730032206230009544</t>
  </si>
  <si>
    <t>杨连</t>
  </si>
  <si>
    <t>18826826233</t>
  </si>
  <si>
    <t>6313730032206230009518</t>
  </si>
  <si>
    <t>孙力</t>
  </si>
  <si>
    <t>15301399550</t>
  </si>
  <si>
    <t>6313730032206230009473</t>
  </si>
  <si>
    <t>13731635976</t>
  </si>
  <si>
    <t>6313730032206230008745</t>
  </si>
  <si>
    <t>余芳</t>
  </si>
  <si>
    <t>15030618618</t>
  </si>
  <si>
    <t>6313730032206230007934</t>
  </si>
  <si>
    <t>代应权</t>
  </si>
  <si>
    <t>13104298377</t>
  </si>
  <si>
    <t>6313730032206230007885</t>
  </si>
  <si>
    <t>江小林</t>
  </si>
  <si>
    <t>19910392069</t>
  </si>
  <si>
    <t>6313730032206230007925</t>
  </si>
  <si>
    <t>邹厚朴</t>
  </si>
  <si>
    <t>15132666189</t>
  </si>
  <si>
    <t>6313730032206230008112</t>
  </si>
  <si>
    <t>18611746788</t>
  </si>
  <si>
    <t>6313730032206230008107</t>
  </si>
  <si>
    <t>18631621023</t>
  </si>
  <si>
    <t>6313730032206230008190</t>
  </si>
  <si>
    <t>17692659021</t>
  </si>
  <si>
    <t>6313730032206230007827</t>
  </si>
  <si>
    <t>朱芬芬</t>
  </si>
  <si>
    <t>13114864455</t>
  </si>
  <si>
    <t>6313730032206230009500</t>
  </si>
  <si>
    <t>王龙玉</t>
  </si>
  <si>
    <t>13785662240</t>
  </si>
  <si>
    <t>6313730032206230009484</t>
  </si>
  <si>
    <t>15533434111</t>
  </si>
  <si>
    <t>6313730032206230009401</t>
  </si>
  <si>
    <t>段建成</t>
  </si>
  <si>
    <t>13956806694</t>
  </si>
  <si>
    <t>6313730032206230009475</t>
  </si>
  <si>
    <t>胡继富</t>
  </si>
  <si>
    <t>13866285079</t>
  </si>
  <si>
    <t>6313730032206230008816</t>
  </si>
  <si>
    <t>薛胜春</t>
  </si>
  <si>
    <t>15930303486</t>
  </si>
  <si>
    <t>6313730032206230008812</t>
  </si>
  <si>
    <t>罗明</t>
  </si>
  <si>
    <t>13733262988</t>
  </si>
  <si>
    <t>6313730032206230008675</t>
  </si>
  <si>
    <t>魏银兰</t>
  </si>
  <si>
    <t>13907932987</t>
  </si>
  <si>
    <t>6313730032206230007930</t>
  </si>
  <si>
    <t>刘群德</t>
  </si>
  <si>
    <t>17695750438</t>
  </si>
  <si>
    <t>6313730032206230007748</t>
  </si>
  <si>
    <t>王伦</t>
  </si>
  <si>
    <t>15011325589</t>
  </si>
  <si>
    <t>6313730032206230007713</t>
  </si>
  <si>
    <t>张肃琴</t>
  </si>
  <si>
    <t>13473664119</t>
  </si>
  <si>
    <t>6313730032206230007702</t>
  </si>
  <si>
    <t>黄早应</t>
  </si>
  <si>
    <t>13930616828</t>
  </si>
  <si>
    <t>6313730032206230007698</t>
  </si>
  <si>
    <t>甘阳</t>
  </si>
  <si>
    <t>18010163412</t>
  </si>
  <si>
    <t>6313730032206230007740</t>
  </si>
  <si>
    <t>18631692935</t>
  </si>
  <si>
    <t>6313730032206230007904</t>
  </si>
  <si>
    <t>邹石</t>
  </si>
  <si>
    <t>15010715906</t>
  </si>
  <si>
    <t>6313730032206230009391</t>
  </si>
  <si>
    <t>潘金凤</t>
  </si>
  <si>
    <t>15711162576</t>
  </si>
  <si>
    <t>6313730032206230009176</t>
  </si>
  <si>
    <t>李大卫</t>
  </si>
  <si>
    <t>13230699862</t>
  </si>
  <si>
    <t>6313730032206230009275</t>
  </si>
  <si>
    <t>邓璐</t>
  </si>
  <si>
    <t>13579992618</t>
  </si>
  <si>
    <t>6313730032206230009493</t>
  </si>
  <si>
    <t>郑润东</t>
  </si>
  <si>
    <t>13269262099</t>
  </si>
  <si>
    <t>6313730032206230009386</t>
  </si>
  <si>
    <t>廖海霞</t>
  </si>
  <si>
    <t>15001129727</t>
  </si>
  <si>
    <t>6313730032206230008553</t>
  </si>
  <si>
    <t>胡伟伟</t>
  </si>
  <si>
    <t>13831632646</t>
  </si>
  <si>
    <t>6313730032206230008515</t>
  </si>
  <si>
    <t>杨章华</t>
  </si>
  <si>
    <t>13651082126</t>
  </si>
  <si>
    <t>6313730032206230008540</t>
  </si>
  <si>
    <t>杨欢</t>
  </si>
  <si>
    <t>15911168858</t>
  </si>
  <si>
    <t>6313730032206230008620</t>
  </si>
  <si>
    <t>何中鑫</t>
  </si>
  <si>
    <t>18331688639</t>
  </si>
  <si>
    <t>6313730032206230007629</t>
  </si>
  <si>
    <t>张丽丽</t>
  </si>
  <si>
    <t>18733695883</t>
  </si>
  <si>
    <t>6313730032206230007614</t>
  </si>
  <si>
    <t>张念</t>
  </si>
  <si>
    <t>18800007883</t>
  </si>
  <si>
    <t>6313730032206230007711</t>
  </si>
  <si>
    <t>13966838487</t>
  </si>
  <si>
    <t>6313730032206230007689</t>
  </si>
  <si>
    <t>姜勇</t>
  </si>
  <si>
    <t>15385841994</t>
  </si>
  <si>
    <t>6313730032206230007704</t>
  </si>
  <si>
    <t>吴兵</t>
  </si>
  <si>
    <t>13705583030</t>
  </si>
  <si>
    <t>6313730032206230007561</t>
  </si>
  <si>
    <t>杜美燕</t>
  </si>
  <si>
    <t>15030679477</t>
  </si>
  <si>
    <t>6313730032206230007570</t>
  </si>
  <si>
    <t>聂小枝</t>
  </si>
  <si>
    <t>17755881105</t>
  </si>
  <si>
    <t>6313730032206230009221</t>
  </si>
  <si>
    <t>胡玉萍</t>
  </si>
  <si>
    <t>18611692797</t>
  </si>
  <si>
    <t>6313730032206230008892</t>
  </si>
  <si>
    <t>刘显慧</t>
  </si>
  <si>
    <t>13717737453</t>
  </si>
  <si>
    <t>6313730032206230009047</t>
  </si>
  <si>
    <t>胡芳</t>
  </si>
  <si>
    <t>17603169187</t>
  </si>
  <si>
    <t>6313730032206230008959</t>
  </si>
  <si>
    <t>王义财</t>
  </si>
  <si>
    <t>15383864052</t>
  </si>
  <si>
    <t>6313730032206230009488</t>
  </si>
  <si>
    <t>关小明</t>
  </si>
  <si>
    <t>18856851819</t>
  </si>
  <si>
    <t>6313730032206230008517</t>
  </si>
  <si>
    <t>刘美</t>
  </si>
  <si>
    <t>13522542007</t>
  </si>
  <si>
    <t>6313730032206230008629</t>
  </si>
  <si>
    <t>叶萍</t>
  </si>
  <si>
    <t>17682831525</t>
  </si>
  <si>
    <t>6313730032206230008631</t>
  </si>
  <si>
    <t>胡道松</t>
  </si>
  <si>
    <t>19166138559</t>
  </si>
  <si>
    <t>6313730032206230008671</t>
  </si>
  <si>
    <t>宗锦羽</t>
  </si>
  <si>
    <t>13009223755</t>
  </si>
  <si>
    <t>6313730032206230008628</t>
  </si>
  <si>
    <t>周晓青</t>
  </si>
  <si>
    <t>13965709422</t>
  </si>
  <si>
    <t>6313730032206230007742</t>
  </si>
  <si>
    <t>曾敏</t>
  </si>
  <si>
    <t>18298199003</t>
  </si>
  <si>
    <t>6313730032206230007759</t>
  </si>
  <si>
    <t>袁方平</t>
  </si>
  <si>
    <t>18712658723</t>
  </si>
  <si>
    <t>6313730032206230007761</t>
  </si>
  <si>
    <t>吴芳芳</t>
  </si>
  <si>
    <t>18755873636</t>
  </si>
  <si>
    <t>6313730032206230007618</t>
  </si>
  <si>
    <t>张幸</t>
  </si>
  <si>
    <t>15832615849</t>
  </si>
  <si>
    <t>6313730032206230007655</t>
  </si>
  <si>
    <t>宋玲玲</t>
  </si>
  <si>
    <t>13966546884</t>
  </si>
  <si>
    <t>6313730032220230000033</t>
  </si>
  <si>
    <t>沙市区豆浆嫂甜品店</t>
  </si>
  <si>
    <t>15956882132</t>
  </si>
  <si>
    <t>6313730032206230008630</t>
  </si>
  <si>
    <t>许糕</t>
  </si>
  <si>
    <t>13955892802</t>
  </si>
  <si>
    <t>6313730032206230008433</t>
  </si>
  <si>
    <t>沈作林</t>
  </si>
  <si>
    <t>18326887360</t>
  </si>
  <si>
    <t>6313730032206230008868</t>
  </si>
  <si>
    <t>沈友珍</t>
  </si>
  <si>
    <t>6313730032206230009426</t>
  </si>
  <si>
    <t>钱军</t>
  </si>
  <si>
    <t>13780267033</t>
  </si>
  <si>
    <t>6313730032206230009420</t>
  </si>
  <si>
    <t>张廷珉</t>
  </si>
  <si>
    <t>18332614413</t>
  </si>
  <si>
    <t>6313730032206230009424</t>
  </si>
  <si>
    <t>潘星佳</t>
  </si>
  <si>
    <t>13285580310</t>
  </si>
  <si>
    <t>6313730032206230008504</t>
  </si>
  <si>
    <t>邓利君</t>
  </si>
  <si>
    <t>13833648258</t>
  </si>
  <si>
    <t>6313730032206230008588</t>
  </si>
  <si>
    <t>刘碧</t>
  </si>
  <si>
    <t>15233162134</t>
  </si>
  <si>
    <t>6313730032206230008576</t>
  </si>
  <si>
    <t>李婧婧</t>
  </si>
  <si>
    <t>13966541926</t>
  </si>
  <si>
    <t>6313730032206230008664</t>
  </si>
  <si>
    <t>夏循平</t>
  </si>
  <si>
    <t>13373161887</t>
  </si>
  <si>
    <t>6313730032206230008581</t>
  </si>
  <si>
    <t>18920835507</t>
  </si>
  <si>
    <t>6313730032206230008475</t>
  </si>
  <si>
    <t>潘虹</t>
  </si>
  <si>
    <t>15155139585</t>
  </si>
  <si>
    <t>6313730032206230007670</t>
  </si>
  <si>
    <t>陈琦</t>
  </si>
  <si>
    <t>15230656177</t>
  </si>
  <si>
    <t>6313730032206230007650</t>
  </si>
  <si>
    <t>李桂军</t>
  </si>
  <si>
    <t>18196681831</t>
  </si>
  <si>
    <t>6313730032206230007736</t>
  </si>
  <si>
    <t>13663267228</t>
  </si>
  <si>
    <t>6313730032206230007613</t>
  </si>
  <si>
    <t>芦燕玲</t>
  </si>
  <si>
    <t>15715683920</t>
  </si>
  <si>
    <t>6313730032206230007604</t>
  </si>
  <si>
    <t>6313730032206230008626</t>
  </si>
  <si>
    <t>余伟伟</t>
  </si>
  <si>
    <t>15162402284</t>
  </si>
  <si>
    <t>6313730032206230008615</t>
  </si>
  <si>
    <t>张惠珍</t>
  </si>
  <si>
    <t>19933671226</t>
  </si>
  <si>
    <t>6313730032206230008683</t>
  </si>
  <si>
    <t>揭国华</t>
  </si>
  <si>
    <t>15831667500</t>
  </si>
  <si>
    <t>6313730032206230008547</t>
  </si>
  <si>
    <t>赵志斌</t>
  </si>
  <si>
    <t>13866289364</t>
  </si>
  <si>
    <t>6313730032206230009334</t>
  </si>
  <si>
    <t>陈健</t>
  </si>
  <si>
    <t>18844939704</t>
  </si>
  <si>
    <t>6313730032206230009145</t>
  </si>
  <si>
    <t>刘双凤</t>
  </si>
  <si>
    <t>17332602916</t>
  </si>
  <si>
    <t>6313730032206230008474</t>
  </si>
  <si>
    <t>舒榕涛</t>
  </si>
  <si>
    <t>6313730032206230007573</t>
  </si>
  <si>
    <t>姚奇</t>
  </si>
  <si>
    <t>17832660837</t>
  </si>
  <si>
    <t>6313730032206230008656</t>
  </si>
  <si>
    <t>邹妍</t>
  </si>
  <si>
    <t>19909684879</t>
  </si>
  <si>
    <t>6313730032206230008320</t>
  </si>
  <si>
    <t>邹进新</t>
  </si>
  <si>
    <t>13910070090</t>
  </si>
  <si>
    <t>6313730032206230008686</t>
  </si>
  <si>
    <t>肖稳成</t>
  </si>
  <si>
    <t>13831674593</t>
  </si>
  <si>
    <t>6313730032206230008667</t>
  </si>
  <si>
    <t>李凤慧</t>
  </si>
  <si>
    <t>13931642477</t>
  </si>
  <si>
    <t>6313730032206230008367</t>
  </si>
  <si>
    <t>方仁英</t>
  </si>
  <si>
    <t>15383162466</t>
  </si>
  <si>
    <t>6313730032206230008522</t>
  </si>
  <si>
    <t>胡朝阳</t>
  </si>
  <si>
    <t>17732600881</t>
  </si>
  <si>
    <t>6313730032206230008575</t>
  </si>
  <si>
    <t>杨维静</t>
  </si>
  <si>
    <t>13074556788</t>
  </si>
  <si>
    <t>6313730032206230008489</t>
  </si>
  <si>
    <t>易方园</t>
  </si>
  <si>
    <t>18134631062</t>
  </si>
  <si>
    <t>6313730032206230008495</t>
  </si>
  <si>
    <t>雷美泽</t>
  </si>
  <si>
    <t>6313730032206230008492</t>
  </si>
  <si>
    <t>柏万林</t>
  </si>
  <si>
    <t>6313730032206230007596</t>
  </si>
  <si>
    <t>熊魏</t>
  </si>
  <si>
    <t>15690157686</t>
  </si>
  <si>
    <t>6313730032206230007529</t>
  </si>
  <si>
    <t>卢媛媛</t>
  </si>
  <si>
    <t>13232602755</t>
  </si>
  <si>
    <t>6313730032206230007526</t>
  </si>
  <si>
    <t>15922164516</t>
  </si>
  <si>
    <t>6313730032206230007518</t>
  </si>
  <si>
    <t>陈平</t>
  </si>
  <si>
    <t>15642975111</t>
  </si>
  <si>
    <t>6313730032206230007591</t>
  </si>
  <si>
    <t>陈有亮</t>
  </si>
  <si>
    <t>18034068488</t>
  </si>
  <si>
    <t>6313730032206230007606</t>
  </si>
  <si>
    <t>朱亚冬</t>
  </si>
  <si>
    <t>18226267699</t>
  </si>
  <si>
    <t>6313730032206230008438</t>
  </si>
  <si>
    <t>文停</t>
  </si>
  <si>
    <t>13463434629</t>
  </si>
  <si>
    <t>6313730032206230007962</t>
  </si>
  <si>
    <t>姜美霞</t>
  </si>
  <si>
    <t>15751769672</t>
  </si>
  <si>
    <t>6313730032206230008338</t>
  </si>
  <si>
    <t>徐书珍</t>
  </si>
  <si>
    <t>15385830876</t>
  </si>
  <si>
    <t>6313730032206230008431</t>
  </si>
  <si>
    <t>谭亮</t>
  </si>
  <si>
    <t>15383866306</t>
  </si>
  <si>
    <t>6313730032206230008232</t>
  </si>
  <si>
    <t>刘龙霞</t>
  </si>
  <si>
    <t>18033659113</t>
  </si>
  <si>
    <t>6313730032206230008436</t>
  </si>
  <si>
    <t>高原</t>
  </si>
  <si>
    <t>6313730032206230009307</t>
  </si>
  <si>
    <t>马一梅</t>
  </si>
  <si>
    <t>13295681829</t>
  </si>
  <si>
    <t>6313730032206230009282</t>
  </si>
  <si>
    <t>付振燃</t>
  </si>
  <si>
    <t>15357687072</t>
  </si>
  <si>
    <t>6313730032206230009186</t>
  </si>
  <si>
    <t>邓传梅</t>
  </si>
  <si>
    <t>18401557498</t>
  </si>
  <si>
    <t>6313730032206230008673</t>
  </si>
  <si>
    <t>黎星星</t>
  </si>
  <si>
    <t>15832635689</t>
  </si>
  <si>
    <t>6313730032206230007565</t>
  </si>
  <si>
    <t>皮传荣</t>
  </si>
  <si>
    <t>15932610234</t>
  </si>
  <si>
    <t>6313730032206230007566</t>
  </si>
  <si>
    <t>刘秋霞</t>
  </si>
  <si>
    <t>15551326518</t>
  </si>
  <si>
    <t>6313730032206230007540</t>
  </si>
  <si>
    <t>李华明</t>
  </si>
  <si>
    <t>13911158855</t>
  </si>
  <si>
    <t>6313730032206230007531</t>
  </si>
  <si>
    <t>施昌林</t>
  </si>
  <si>
    <t>13821544973</t>
  </si>
  <si>
    <t>6313730032206230007532</t>
  </si>
  <si>
    <t>熊昕奕</t>
  </si>
  <si>
    <t>18625713859</t>
  </si>
  <si>
    <t>6313730032206230008355</t>
  </si>
  <si>
    <t>王琏</t>
  </si>
  <si>
    <t>18356983952</t>
  </si>
  <si>
    <t>6313730032206230008203</t>
  </si>
  <si>
    <t>李邦环</t>
  </si>
  <si>
    <t>19312567237</t>
  </si>
  <si>
    <t>6313730032206230008346</t>
  </si>
  <si>
    <t>邱芬</t>
  </si>
  <si>
    <t>13705587160</t>
  </si>
  <si>
    <t>6313730032206230008340</t>
  </si>
  <si>
    <t>魏尚立</t>
  </si>
  <si>
    <t>18269991031</t>
  </si>
  <si>
    <t>6313730032206230008353</t>
  </si>
  <si>
    <t>柏学红</t>
  </si>
  <si>
    <t>13903168381</t>
  </si>
  <si>
    <t>6313730032206230009269</t>
  </si>
  <si>
    <t>李光珍</t>
  </si>
  <si>
    <t>13659339638</t>
  </si>
  <si>
    <t>6313730032206230009330</t>
  </si>
  <si>
    <t>蔡杰</t>
  </si>
  <si>
    <t>17733450508</t>
  </si>
  <si>
    <t>6313730032206230009255</t>
  </si>
  <si>
    <t>付雪静</t>
  </si>
  <si>
    <t>15055802893</t>
  </si>
  <si>
    <t>6313730032206230009242</t>
  </si>
  <si>
    <t>胡汝佳</t>
  </si>
  <si>
    <t>17731652738</t>
  </si>
  <si>
    <t>6313730032206230008309</t>
  </si>
  <si>
    <t>易秋玲</t>
  </si>
  <si>
    <t>13439631577</t>
  </si>
  <si>
    <t>6313730032206230008245</t>
  </si>
  <si>
    <t>梅浩林</t>
  </si>
  <si>
    <t>18665756162</t>
  </si>
  <si>
    <t>6313730032206230008362</t>
  </si>
  <si>
    <t>高霞</t>
  </si>
  <si>
    <t>15906680988</t>
  </si>
  <si>
    <t>6313730032206230008414</t>
  </si>
  <si>
    <t>周龙尧</t>
  </si>
  <si>
    <t>15003365841</t>
  </si>
  <si>
    <t>6313730032206230008227</t>
  </si>
  <si>
    <t>王先意</t>
  </si>
  <si>
    <t>17856851862</t>
  </si>
  <si>
    <t>6313730032206230007454</t>
  </si>
  <si>
    <t>张宗慧</t>
  </si>
  <si>
    <t>13601392309</t>
  </si>
  <si>
    <t>6313730032206230007457</t>
  </si>
  <si>
    <t>孙德全</t>
  </si>
  <si>
    <t>15230611667</t>
  </si>
  <si>
    <t>6313730032206230007477</t>
  </si>
  <si>
    <t>帅冬冬</t>
  </si>
  <si>
    <t>18731697670</t>
  </si>
  <si>
    <t>6313730032206230007469</t>
  </si>
  <si>
    <t>周翔</t>
  </si>
  <si>
    <t>13224296696</t>
  </si>
  <si>
    <t>6313730032206230007450</t>
  </si>
  <si>
    <t>罗少保</t>
  </si>
  <si>
    <t>15801144137</t>
  </si>
  <si>
    <t>6313730032206230007460</t>
  </si>
  <si>
    <t>严贵平</t>
  </si>
  <si>
    <t>15932358933</t>
  </si>
  <si>
    <t>6313730032206230008330</t>
  </si>
  <si>
    <t>潘美成</t>
  </si>
  <si>
    <t>13261964080</t>
  </si>
  <si>
    <t>6313730032206230008064</t>
  </si>
  <si>
    <t>阮玉梅</t>
  </si>
  <si>
    <t>15631668883</t>
  </si>
  <si>
    <t>6313730032206230008067</t>
  </si>
  <si>
    <t>李红</t>
  </si>
  <si>
    <t>13721035264</t>
  </si>
  <si>
    <t>6313730032206230007990</t>
  </si>
  <si>
    <t>13855850717</t>
  </si>
  <si>
    <t>6313730032206230009130</t>
  </si>
  <si>
    <t>段树仁</t>
  </si>
  <si>
    <t>15222825318</t>
  </si>
  <si>
    <t>6313730032206230009232</t>
  </si>
  <si>
    <t>田期武</t>
  </si>
  <si>
    <t>13470681333</t>
  </si>
  <si>
    <t>6313730032206230009234</t>
  </si>
  <si>
    <t>何祖德</t>
  </si>
  <si>
    <t>13832646298</t>
  </si>
  <si>
    <t>6313730032206230009132</t>
  </si>
  <si>
    <t>高礼旺</t>
  </si>
  <si>
    <t>13930631231</t>
  </si>
  <si>
    <t>6313730032206230009098</t>
  </si>
  <si>
    <t>李建良</t>
  </si>
  <si>
    <t>13605582151</t>
  </si>
  <si>
    <t>6313730032206230008271</t>
  </si>
  <si>
    <t>晏梅</t>
  </si>
  <si>
    <t>13735383735</t>
  </si>
  <si>
    <t>6313730032206230008286</t>
  </si>
  <si>
    <t>李舒畅</t>
  </si>
  <si>
    <t>19555881959</t>
  </si>
  <si>
    <t>6313730032206230008429</t>
  </si>
  <si>
    <t>余金龙</t>
  </si>
  <si>
    <t>18955899170</t>
  </si>
  <si>
    <t>6313730032206230008283</t>
  </si>
  <si>
    <t>傅春艳</t>
  </si>
  <si>
    <t>15375587232</t>
  </si>
  <si>
    <t>6313730032206230009483</t>
  </si>
  <si>
    <t>刘舟</t>
  </si>
  <si>
    <t>18226346285</t>
  </si>
  <si>
    <t>6313730032206230009394</t>
  </si>
  <si>
    <t>陈梦怡</t>
  </si>
  <si>
    <t>15867791209</t>
  </si>
  <si>
    <t>6313730032206230009331</t>
  </si>
  <si>
    <t>杜纯超</t>
  </si>
  <si>
    <t>18256823655</t>
  </si>
  <si>
    <t>6313730032206230008070</t>
  </si>
  <si>
    <t>周绪春</t>
  </si>
  <si>
    <t>15855497676</t>
  </si>
  <si>
    <t>6313730032206230008161</t>
  </si>
  <si>
    <t>曾梅</t>
  </si>
  <si>
    <t>15955899698</t>
  </si>
  <si>
    <t>6313730032206230008049</t>
  </si>
  <si>
    <t>陈遵刚</t>
  </si>
  <si>
    <t>13132050400</t>
  </si>
  <si>
    <t>6313730032206230009198</t>
  </si>
  <si>
    <t>罗立宏</t>
  </si>
  <si>
    <t>15555897220</t>
  </si>
  <si>
    <t>6313730032206230009072</t>
  </si>
  <si>
    <t>刘敬凤</t>
  </si>
  <si>
    <t>15256818803</t>
  </si>
  <si>
    <t>6313730032206230007974</t>
  </si>
  <si>
    <t>周友国</t>
  </si>
  <si>
    <t>18055887637</t>
  </si>
  <si>
    <t>6313730032206230009146</t>
  </si>
  <si>
    <t>陈璋</t>
  </si>
  <si>
    <t>15910826002</t>
  </si>
  <si>
    <t>6313730032206230009163</t>
  </si>
  <si>
    <t>李四</t>
  </si>
  <si>
    <t>15555893002</t>
  </si>
  <si>
    <t>6313730032206230009323</t>
  </si>
  <si>
    <t>李志华</t>
  </si>
  <si>
    <t>17600867359</t>
  </si>
  <si>
    <t>6313730032206230009095</t>
  </si>
  <si>
    <t>18217561910</t>
  </si>
  <si>
    <t>6313730032206230009300</t>
  </si>
  <si>
    <t>黄毅</t>
  </si>
  <si>
    <t>17600085375</t>
  </si>
  <si>
    <t>6313730032206230008177</t>
  </si>
  <si>
    <t>陈卫雄</t>
  </si>
  <si>
    <t>18109680933</t>
  </si>
  <si>
    <t>6313730032206230008037</t>
  </si>
  <si>
    <t>杨万成</t>
  </si>
  <si>
    <t>13605586994</t>
  </si>
  <si>
    <t>6313730032206230008046</t>
  </si>
  <si>
    <t>刘芬</t>
  </si>
  <si>
    <t>13681157403</t>
  </si>
  <si>
    <t>6313730032206230008948</t>
  </si>
  <si>
    <t>李清清</t>
  </si>
  <si>
    <t>18600556131</t>
  </si>
  <si>
    <t>6313730032206230008921</t>
  </si>
  <si>
    <t>黄陶红</t>
  </si>
  <si>
    <t>15630712225</t>
  </si>
  <si>
    <t>6313730032206230009075</t>
  </si>
  <si>
    <t>肖晓红</t>
  </si>
  <si>
    <t>13722633543</t>
  </si>
  <si>
    <t>6313730032206230008978</t>
  </si>
  <si>
    <t>潘勋</t>
  </si>
  <si>
    <t>18935499000</t>
  </si>
  <si>
    <t>6313730032206230008180</t>
  </si>
  <si>
    <t>冯菊</t>
  </si>
  <si>
    <t>13722659068</t>
  </si>
  <si>
    <t>6313730032206230008179</t>
  </si>
  <si>
    <t>刘敦海</t>
  </si>
  <si>
    <t>13816451025</t>
  </si>
  <si>
    <t>6313730032206230007966</t>
  </si>
  <si>
    <t>王蕾</t>
  </si>
  <si>
    <t>13333405321</t>
  </si>
  <si>
    <t>6313730032206230007957</t>
  </si>
  <si>
    <t>伍学翠</t>
  </si>
  <si>
    <t>18331778660</t>
  </si>
  <si>
    <t>6313730032206230008155</t>
  </si>
  <si>
    <t>汤佳丽</t>
  </si>
  <si>
    <t>13766805696</t>
  </si>
  <si>
    <t>6313730032206230009177</t>
  </si>
  <si>
    <t>高爱珍</t>
  </si>
  <si>
    <t>13625582892</t>
  </si>
  <si>
    <t>6313730032206230009321</t>
  </si>
  <si>
    <t>代波涛</t>
  </si>
  <si>
    <t>13784478320</t>
  </si>
  <si>
    <t>6313730032206230008984</t>
  </si>
  <si>
    <t>刘鹏华</t>
  </si>
  <si>
    <t>18331751143</t>
  </si>
  <si>
    <t>6313730032206230008085</t>
  </si>
  <si>
    <t>彭红</t>
  </si>
  <si>
    <t>18756855888</t>
  </si>
  <si>
    <t>6313730032206230008038</t>
  </si>
  <si>
    <t>张方方</t>
  </si>
  <si>
    <t>15210630045</t>
  </si>
  <si>
    <t>6313730032206230007887</t>
  </si>
  <si>
    <t>张义东</t>
  </si>
  <si>
    <t>15855488775</t>
  </si>
  <si>
    <t>6313730032206230007797</t>
  </si>
  <si>
    <t>陈艳娇</t>
  </si>
  <si>
    <t>15128798055</t>
  </si>
  <si>
    <t>6313730032206230008088</t>
  </si>
  <si>
    <t>陈远婷</t>
  </si>
  <si>
    <t>13473652067</t>
  </si>
  <si>
    <t>6313730032206230008015</t>
  </si>
  <si>
    <t>朱盛凤</t>
  </si>
  <si>
    <t>15955818508</t>
  </si>
  <si>
    <t>6313730032206230007964</t>
  </si>
  <si>
    <t>侯红秀</t>
  </si>
  <si>
    <t>18600386717</t>
  </si>
  <si>
    <t>6313730032206230008137</t>
  </si>
  <si>
    <t>杨元凌</t>
  </si>
  <si>
    <t>13903264204</t>
  </si>
  <si>
    <t>6313730032206230008159</t>
  </si>
  <si>
    <t>郑定权</t>
  </si>
  <si>
    <t>17610663828</t>
  </si>
  <si>
    <t>6313730032206230008041</t>
  </si>
  <si>
    <t>毛莎</t>
  </si>
  <si>
    <t>15955899844</t>
  </si>
  <si>
    <t>6313730032206230009012</t>
  </si>
  <si>
    <t>黄政国</t>
  </si>
  <si>
    <t>15022740302</t>
  </si>
  <si>
    <t>6313730032206230008964</t>
  </si>
  <si>
    <t>王业明</t>
  </si>
  <si>
    <t>19955809553</t>
  </si>
  <si>
    <t>6313730032206230008902</t>
  </si>
  <si>
    <t>何政政</t>
  </si>
  <si>
    <t>15956878250</t>
  </si>
  <si>
    <t>6313730032206230009016</t>
  </si>
  <si>
    <t>瞿海洋</t>
  </si>
  <si>
    <t>15076606723</t>
  </si>
  <si>
    <t>6313730032206230008929</t>
  </si>
  <si>
    <t>王丽</t>
  </si>
  <si>
    <t>13520349159</t>
  </si>
  <si>
    <t>6313730032206230008024</t>
  </si>
  <si>
    <t>张幼知</t>
  </si>
  <si>
    <t>13366966348</t>
  </si>
  <si>
    <t>6313730032206230008185</t>
  </si>
  <si>
    <t>周方成</t>
  </si>
  <si>
    <t>13966566020</t>
  </si>
  <si>
    <t>6313730032206230008005</t>
  </si>
  <si>
    <t>丁永虎</t>
  </si>
  <si>
    <t>13956812634</t>
  </si>
  <si>
    <t>6313730032206230008093</t>
  </si>
  <si>
    <t>李雪英</t>
  </si>
  <si>
    <t>13930645606</t>
  </si>
  <si>
    <t>6313730032206230008733</t>
  </si>
  <si>
    <t>谢丽蒙</t>
  </si>
  <si>
    <t>6313730032206230008889</t>
  </si>
  <si>
    <t>15226667119</t>
  </si>
  <si>
    <t>6313730032206230007676</t>
  </si>
  <si>
    <t>刘三秀</t>
  </si>
  <si>
    <t>13515582828</t>
  </si>
  <si>
    <t>6313730032206230007686</t>
  </si>
  <si>
    <t>钟任香</t>
  </si>
  <si>
    <t>13031166010</t>
  </si>
  <si>
    <t>6313730032206230007681</t>
  </si>
  <si>
    <t>李夏敏</t>
  </si>
  <si>
    <t>13865586096</t>
  </si>
  <si>
    <t>6313730032206230007505</t>
  </si>
  <si>
    <t>15755822816</t>
  </si>
  <si>
    <t>6313730032206230007480</t>
  </si>
  <si>
    <t>周志</t>
  </si>
  <si>
    <t>15226732123</t>
  </si>
  <si>
    <t>6313730032206230007574</t>
  </si>
  <si>
    <t>王红菊</t>
  </si>
  <si>
    <t>13011183963</t>
  </si>
  <si>
    <t>6313730032206230008728</t>
  </si>
  <si>
    <t>万勇</t>
  </si>
  <si>
    <t>13933911352</t>
  </si>
  <si>
    <t>6313730032206230008726</t>
  </si>
  <si>
    <t>胡建设</t>
  </si>
  <si>
    <t>18655844685</t>
  </si>
  <si>
    <t>6313730032206230008815</t>
  </si>
  <si>
    <t>胡双玲</t>
  </si>
  <si>
    <t>18355870788</t>
  </si>
  <si>
    <t>6313730032206230008871</t>
  </si>
  <si>
    <t>黄光耀</t>
  </si>
  <si>
    <t>15655829758</t>
  </si>
  <si>
    <t>6313730032206230008807</t>
  </si>
  <si>
    <t>李利方</t>
  </si>
  <si>
    <t>18297962171</t>
  </si>
  <si>
    <t>6313730032206230007826</t>
  </si>
  <si>
    <t>杨邦元</t>
  </si>
  <si>
    <t>18955803516</t>
  </si>
  <si>
    <t>6313730032206230007781</t>
  </si>
  <si>
    <t>袁作蓉</t>
  </si>
  <si>
    <t>18734071279</t>
  </si>
  <si>
    <t>6313730032206230008605</t>
  </si>
  <si>
    <t>杨玉凤</t>
  </si>
  <si>
    <t>13905683022</t>
  </si>
  <si>
    <t>6313730032206230008582</t>
  </si>
  <si>
    <t>18755860552</t>
  </si>
  <si>
    <t>6313730032206230008550</t>
  </si>
  <si>
    <t>肖生振</t>
  </si>
  <si>
    <t>19965889998</t>
  </si>
  <si>
    <t>6313730032206230008411</t>
  </si>
  <si>
    <t>李爱荣</t>
  </si>
  <si>
    <t>13966816753</t>
  </si>
  <si>
    <t>6313730032206230008408</t>
  </si>
  <si>
    <t>宋向华</t>
  </si>
  <si>
    <t>13801297841</t>
  </si>
  <si>
    <t>6313730032206230008372</t>
  </si>
  <si>
    <t>18690173833</t>
  </si>
  <si>
    <t>6313730032206230008370</t>
  </si>
  <si>
    <t>李旭飞</t>
  </si>
  <si>
    <t>18931688584</t>
  </si>
  <si>
    <t>6313730032206230007455</t>
  </si>
  <si>
    <t>肖忠慧</t>
  </si>
  <si>
    <t>13611199953</t>
  </si>
  <si>
    <t>6313730032206230009551</t>
  </si>
  <si>
    <t>陈波</t>
  </si>
  <si>
    <t>13956756191</t>
  </si>
  <si>
    <t>6313730032206230009549</t>
  </si>
  <si>
    <t>吴见波</t>
  </si>
  <si>
    <t>13955890597</t>
  </si>
  <si>
    <t>6313730032206230008835</t>
  </si>
  <si>
    <t>朱小霞</t>
  </si>
  <si>
    <t>15933165159</t>
  </si>
  <si>
    <t>6313730032206230008855</t>
  </si>
  <si>
    <t>杨霜</t>
  </si>
  <si>
    <t>13903262289</t>
  </si>
  <si>
    <t>6313730032206230007943</t>
  </si>
  <si>
    <t>史长虹</t>
  </si>
  <si>
    <t>13332018877</t>
  </si>
  <si>
    <t>6313730032206230007773</t>
  </si>
  <si>
    <t>宋红霞</t>
  </si>
  <si>
    <t>13932671501</t>
  </si>
  <si>
    <t>6313730032206230007772</t>
  </si>
  <si>
    <t>郭玉双</t>
  </si>
  <si>
    <t>13866218158</t>
  </si>
  <si>
    <t>6313730032206230008435</t>
  </si>
  <si>
    <t>李旭峰</t>
  </si>
  <si>
    <t>13956816134</t>
  </si>
  <si>
    <t>6313730032206230008380</t>
  </si>
  <si>
    <t>王黎丽</t>
  </si>
  <si>
    <t>17610088809</t>
  </si>
  <si>
    <t>6313730032206230008413</t>
  </si>
  <si>
    <t>杨巧</t>
  </si>
  <si>
    <t>13653163951</t>
  </si>
  <si>
    <t>6313730032206230008285</t>
  </si>
  <si>
    <t>刘家</t>
  </si>
  <si>
    <t>13955869729</t>
  </si>
  <si>
    <t>6313730032206230008418</t>
  </si>
  <si>
    <t>袁媛</t>
  </si>
  <si>
    <t>13111777749</t>
  </si>
  <si>
    <t>6313730032206230008391</t>
  </si>
  <si>
    <t>张红军</t>
  </si>
  <si>
    <t>13665588494</t>
  </si>
  <si>
    <t>6313730032206230008409</t>
  </si>
  <si>
    <t>李敏</t>
  </si>
  <si>
    <t>13473615501</t>
  </si>
  <si>
    <t>6313730032206230008416</t>
  </si>
  <si>
    <t>袁曹凯</t>
  </si>
  <si>
    <t>13955803827</t>
  </si>
  <si>
    <t>6313730032206230008066</t>
  </si>
  <si>
    <t>吴先龙</t>
  </si>
  <si>
    <t>15830603858</t>
  </si>
  <si>
    <t>6313730032206230008157</t>
  </si>
  <si>
    <t>唐英</t>
  </si>
  <si>
    <t>17600017126</t>
  </si>
  <si>
    <t>投保人联系方式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</si>
</sst>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\ hh:mm:ss"/>
    <numFmt numFmtId="178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0" fillId="16" borderId="2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26" fillId="0" borderId="0">
      <alignment vertical="center"/>
    </xf>
  </cellStyleXfs>
  <cellXfs count="59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/>
    <xf numFmtId="0" fontId="1" fillId="2" borderId="0" xfId="0" applyFont="1" applyFill="1"/>
    <xf numFmtId="0" fontId="1" fillId="3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49" fontId="3" fillId="3" borderId="1" xfId="5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76" fontId="3" fillId="3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176" fontId="5" fillId="5" borderId="1" xfId="50" applyNumberFormat="1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0" xfId="0" applyFont="1" applyAlignment="1">
      <alignment horizontal="justify"/>
    </xf>
    <xf numFmtId="177" fontId="2" fillId="0" borderId="0" xfId="0" applyNumberFormat="1" applyFont="1" applyFill="1" applyAlignment="1">
      <alignment horizontal="right"/>
    </xf>
    <xf numFmtId="0" fontId="2" fillId="0" borderId="0" xfId="0" applyFont="1" applyFill="1" applyAlignment="1"/>
    <xf numFmtId="49" fontId="1" fillId="4" borderId="1" xfId="50" applyNumberFormat="1" applyFont="1" applyFill="1" applyBorder="1" applyAlignment="1">
      <alignment horizontal="center" vertical="center"/>
    </xf>
    <xf numFmtId="49" fontId="1" fillId="6" borderId="1" xfId="50" applyNumberFormat="1" applyFont="1" applyFill="1" applyBorder="1" applyAlignment="1">
      <alignment horizontal="center" vertical="center"/>
    </xf>
    <xf numFmtId="49" fontId="1" fillId="5" borderId="1" xfId="5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176" fontId="1" fillId="5" borderId="1" xfId="50" applyNumberFormat="1" applyFont="1" applyFill="1" applyBorder="1" applyAlignment="1">
      <alignment horizontal="center" vertical="center"/>
    </xf>
    <xf numFmtId="0" fontId="3" fillId="5" borderId="1" xfId="5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/>
    <xf numFmtId="4" fontId="2" fillId="0" borderId="0" xfId="0" applyNumberFormat="1" applyFont="1" applyFill="1" applyAlignment="1">
      <alignment horizontal="right"/>
    </xf>
    <xf numFmtId="0" fontId="3" fillId="0" borderId="1" xfId="5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3" fillId="4" borderId="1" xfId="50" applyFont="1" applyFill="1" applyBorder="1" applyAlignment="1">
      <alignment horizontal="center" vertical="center"/>
    </xf>
    <xf numFmtId="9" fontId="3" fillId="4" borderId="1" xfId="5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" fillId="5" borderId="1" xfId="5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/>
      <protection locked="0"/>
    </xf>
    <xf numFmtId="178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77" fontId="2" fillId="2" borderId="0" xfId="0" applyNumberFormat="1" applyFont="1" applyFill="1" applyAlignment="1">
      <alignment horizontal="right"/>
    </xf>
    <xf numFmtId="0" fontId="2" fillId="2" borderId="0" xfId="0" applyFont="1" applyFill="1" applyAlignment="1"/>
    <xf numFmtId="0" fontId="1" fillId="2" borderId="0" xfId="0" applyFont="1" applyFill="1" applyAlignment="1">
      <alignment vertical="center"/>
    </xf>
    <xf numFmtId="176" fontId="1" fillId="2" borderId="0" xfId="0" applyNumberFormat="1" applyFont="1" applyFill="1" applyBorder="1" applyAlignment="1"/>
    <xf numFmtId="4" fontId="2" fillId="2" borderId="0" xfId="0" applyNumberFormat="1" applyFont="1" applyFill="1" applyAlignment="1">
      <alignment horizontal="right"/>
    </xf>
    <xf numFmtId="0" fontId="3" fillId="2" borderId="1" xfId="5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000"/>
  <sheetViews>
    <sheetView tabSelected="1" topLeftCell="K1" workbookViewId="0">
      <selection activeCell="P6" sqref="P6"/>
    </sheetView>
  </sheetViews>
  <sheetFormatPr defaultColWidth="9" defaultRowHeight="14"/>
  <cols>
    <col min="1" max="1" width="11.8636363636364" style="4" customWidth="1"/>
    <col min="2" max="2" width="19" style="5" customWidth="1"/>
    <col min="3" max="3" width="9.12727272727273" style="6"/>
    <col min="4" max="4" width="21.2181818181818" style="4" customWidth="1"/>
    <col min="5" max="5" width="20.2727272727273" style="7" customWidth="1"/>
    <col min="6" max="6" width="13.4636363636364" style="7" customWidth="1"/>
    <col min="7" max="8" width="34.3363636363636" style="8" customWidth="1"/>
    <col min="9" max="9" width="21.4" style="9" customWidth="1"/>
    <col min="10" max="10" width="14" style="4" customWidth="1"/>
    <col min="11" max="11" width="13.4636363636364" style="7" customWidth="1"/>
    <col min="12" max="12" width="11" style="8"/>
    <col min="13" max="13" width="21.4" style="10" customWidth="1"/>
    <col min="14" max="14" width="11" style="8"/>
    <col min="15" max="15" width="21.2727272727273" style="10" customWidth="1"/>
    <col min="16" max="17" width="25.4454545454545" style="8" customWidth="1"/>
    <col min="18" max="18" width="17" style="11" customWidth="1"/>
    <col min="19" max="21" width="13.4636363636364" style="7" customWidth="1"/>
    <col min="22" max="22" width="11" style="8"/>
    <col min="23" max="24" width="17.8636363636364" style="10" customWidth="1"/>
    <col min="25" max="25" width="11" style="8"/>
    <col min="26" max="26" width="14" style="9" customWidth="1"/>
    <col min="27" max="27" width="19" style="9" customWidth="1"/>
    <col min="28" max="28" width="16.4636363636364" style="9" customWidth="1"/>
    <col min="29" max="30" width="17.8636363636364" style="10" customWidth="1"/>
    <col min="31" max="31" width="11" style="8"/>
    <col min="32" max="32" width="11.8636363636364" style="7" customWidth="1"/>
    <col min="33" max="33" width="17.8636363636364" style="6" customWidth="1"/>
    <col min="34" max="34" width="9" style="6"/>
    <col min="35" max="35" width="12.2727272727273" style="6" customWidth="1"/>
    <col min="36" max="36" width="8.72727272727273" style="6" customWidth="1"/>
    <col min="37" max="37" width="17.2727272727273" style="6" customWidth="1"/>
    <col min="38" max="38" width="18.1272727272727" style="6" customWidth="1"/>
    <col min="39" max="39" width="10.4636363636364" style="6" customWidth="1"/>
    <col min="40" max="42" width="11.8636363636364" style="10" customWidth="1"/>
    <col min="43" max="43" width="19.6" style="7" customWidth="1"/>
    <col min="44" max="45" width="11.8636363636364" style="7" customWidth="1"/>
    <col min="46" max="46" width="19.8636363636364" style="10" customWidth="1"/>
    <col min="47" max="47" width="24.6" style="10" customWidth="1"/>
    <col min="48" max="48" width="10.7272727272727" style="12" customWidth="1"/>
    <col min="49" max="16384" width="9" style="13"/>
  </cols>
  <sheetData>
    <row r="1" ht="20.1" customHeight="1" spans="1:48">
      <c r="A1" s="14" t="s">
        <v>0</v>
      </c>
      <c r="B1" s="15" t="s">
        <v>1</v>
      </c>
      <c r="C1" s="16" t="s">
        <v>2</v>
      </c>
      <c r="D1" s="17" t="s">
        <v>3</v>
      </c>
      <c r="E1" s="18" t="s">
        <v>4</v>
      </c>
      <c r="F1" s="18" t="s">
        <v>5</v>
      </c>
      <c r="G1" s="19" t="s">
        <v>6</v>
      </c>
      <c r="H1" s="20" t="s">
        <v>7</v>
      </c>
      <c r="I1" s="25" t="s">
        <v>8</v>
      </c>
      <c r="J1" s="20" t="s">
        <v>9</v>
      </c>
      <c r="K1" s="18" t="s">
        <v>10</v>
      </c>
      <c r="L1" s="26" t="s">
        <v>11</v>
      </c>
      <c r="M1" s="27" t="s">
        <v>12</v>
      </c>
      <c r="N1" s="14" t="s">
        <v>13</v>
      </c>
      <c r="O1" s="27" t="s">
        <v>14</v>
      </c>
      <c r="P1" s="17" t="s">
        <v>15</v>
      </c>
      <c r="Q1" s="17" t="s">
        <v>16</v>
      </c>
      <c r="R1" s="30" t="s">
        <v>17</v>
      </c>
      <c r="S1" s="18" t="s">
        <v>18</v>
      </c>
      <c r="T1" s="18" t="s">
        <v>19</v>
      </c>
      <c r="U1" s="18" t="s">
        <v>20</v>
      </c>
      <c r="V1" s="20" t="s">
        <v>21</v>
      </c>
      <c r="W1" s="31" t="s">
        <v>22</v>
      </c>
      <c r="X1" s="31" t="s">
        <v>23</v>
      </c>
      <c r="Y1" s="31" t="s">
        <v>24</v>
      </c>
      <c r="Z1" s="36" t="s">
        <v>25</v>
      </c>
      <c r="AA1" s="36" t="s">
        <v>26</v>
      </c>
      <c r="AB1" s="36" t="s">
        <v>27</v>
      </c>
      <c r="AC1" s="20" t="s">
        <v>28</v>
      </c>
      <c r="AD1" s="31" t="s">
        <v>29</v>
      </c>
      <c r="AE1" s="20" t="s">
        <v>30</v>
      </c>
      <c r="AF1" s="18" t="s">
        <v>31</v>
      </c>
      <c r="AG1" s="38" t="s">
        <v>32</v>
      </c>
      <c r="AH1" s="38" t="s">
        <v>33</v>
      </c>
      <c r="AI1" s="38" t="s">
        <v>34</v>
      </c>
      <c r="AJ1" s="38" t="s">
        <v>35</v>
      </c>
      <c r="AK1" s="38" t="s">
        <v>36</v>
      </c>
      <c r="AL1" s="38" t="s">
        <v>37</v>
      </c>
      <c r="AM1" s="38" t="s">
        <v>38</v>
      </c>
      <c r="AN1" s="39" t="s">
        <v>39</v>
      </c>
      <c r="AO1" s="39" t="s">
        <v>40</v>
      </c>
      <c r="AP1" s="39" t="s">
        <v>41</v>
      </c>
      <c r="AQ1" s="44" t="s">
        <v>42</v>
      </c>
      <c r="AR1" s="44" t="s">
        <v>43</v>
      </c>
      <c r="AS1" s="44" t="s">
        <v>44</v>
      </c>
      <c r="AT1" s="45" t="s">
        <v>45</v>
      </c>
      <c r="AU1" s="45" t="s">
        <v>46</v>
      </c>
      <c r="AV1" s="46" t="s">
        <v>47</v>
      </c>
    </row>
    <row r="2" s="2" customFormat="1" customHeight="1" spans="1:48">
      <c r="A2" s="4" t="s">
        <v>48</v>
      </c>
      <c r="B2" s="5"/>
      <c r="C2" s="21"/>
      <c r="D2" s="22" t="s">
        <v>49</v>
      </c>
      <c r="G2" s="23">
        <v>45102</v>
      </c>
      <c r="H2" s="24" t="s">
        <v>50</v>
      </c>
      <c r="J2" s="28" t="s">
        <v>51</v>
      </c>
      <c r="L2" s="24" t="s">
        <v>52</v>
      </c>
      <c r="M2" s="1" t="str">
        <f>"370728196004060226"</f>
        <v>370728196004060226</v>
      </c>
      <c r="N2" s="24" t="s">
        <v>52</v>
      </c>
      <c r="O2" s="1" t="str">
        <f>"370728196004060226"</f>
        <v>370728196004060226</v>
      </c>
      <c r="P2" s="23" t="s">
        <v>53</v>
      </c>
      <c r="Q2" s="23">
        <v>45103</v>
      </c>
      <c r="R2" s="32">
        <v>45469</v>
      </c>
      <c r="V2" s="33">
        <v>100</v>
      </c>
      <c r="W2" s="28">
        <v>64.29</v>
      </c>
      <c r="X2" s="34" t="s">
        <v>54</v>
      </c>
      <c r="Y2" s="33">
        <v>64.29</v>
      </c>
      <c r="AA2" s="36"/>
      <c r="AB2" s="36"/>
      <c r="AC2" s="28">
        <v>64.29</v>
      </c>
      <c r="AD2" s="34" t="s">
        <v>54</v>
      </c>
      <c r="AE2" s="33">
        <v>64.29</v>
      </c>
      <c r="AF2" s="34"/>
      <c r="AG2" s="40"/>
      <c r="AH2" s="41"/>
      <c r="AI2" s="42"/>
      <c r="AJ2" s="43"/>
      <c r="AK2" s="42"/>
      <c r="AL2" s="42"/>
      <c r="AM2" s="43"/>
      <c r="AN2" s="7" t="s">
        <v>54</v>
      </c>
      <c r="AO2" s="7" t="s">
        <v>55</v>
      </c>
      <c r="AP2" s="7" t="s">
        <v>56</v>
      </c>
      <c r="AQ2" s="43"/>
      <c r="AR2" s="43"/>
      <c r="AS2" s="6"/>
      <c r="AT2" s="47" t="s">
        <v>57</v>
      </c>
      <c r="AU2" s="47" t="s">
        <v>57</v>
      </c>
      <c r="AV2" s="12"/>
    </row>
    <row r="3" spans="1:47">
      <c r="A3" s="4" t="s">
        <v>48</v>
      </c>
      <c r="C3" s="21"/>
      <c r="D3" s="22" t="s">
        <v>49</v>
      </c>
      <c r="G3" s="23">
        <v>45102</v>
      </c>
      <c r="H3" s="24" t="s">
        <v>58</v>
      </c>
      <c r="I3" s="29"/>
      <c r="J3" s="28" t="s">
        <v>51</v>
      </c>
      <c r="L3" s="24" t="s">
        <v>59</v>
      </c>
      <c r="M3" s="1" t="str">
        <f>"132825195611142425"</f>
        <v>132825195611142425</v>
      </c>
      <c r="N3" s="24" t="s">
        <v>59</v>
      </c>
      <c r="O3" s="1" t="str">
        <f>"132825195611142425"</f>
        <v>132825195611142425</v>
      </c>
      <c r="P3" s="23" t="s">
        <v>60</v>
      </c>
      <c r="Q3" s="23">
        <v>45103</v>
      </c>
      <c r="R3" s="32">
        <v>45469</v>
      </c>
      <c r="S3" s="35"/>
      <c r="V3" s="33">
        <v>100</v>
      </c>
      <c r="W3" s="28">
        <v>64.29</v>
      </c>
      <c r="X3" s="34" t="s">
        <v>54</v>
      </c>
      <c r="Y3" s="33">
        <v>64.29</v>
      </c>
      <c r="AC3" s="28">
        <v>64.29</v>
      </c>
      <c r="AD3" s="34" t="s">
        <v>54</v>
      </c>
      <c r="AE3" s="33">
        <v>64.29</v>
      </c>
      <c r="AN3" s="7" t="s">
        <v>54</v>
      </c>
      <c r="AO3" s="7" t="s">
        <v>55</v>
      </c>
      <c r="AP3" s="7" t="s">
        <v>56</v>
      </c>
      <c r="AT3" s="47" t="s">
        <v>57</v>
      </c>
      <c r="AU3" s="47" t="s">
        <v>57</v>
      </c>
    </row>
    <row r="4" spans="1:47">
      <c r="A4" s="4" t="s">
        <v>48</v>
      </c>
      <c r="C4" s="21"/>
      <c r="D4" s="22" t="s">
        <v>49</v>
      </c>
      <c r="G4" s="23">
        <v>45102</v>
      </c>
      <c r="H4" s="24" t="s">
        <v>61</v>
      </c>
      <c r="I4" s="29"/>
      <c r="J4" s="28" t="s">
        <v>51</v>
      </c>
      <c r="L4" s="24" t="s">
        <v>62</v>
      </c>
      <c r="M4" s="1" t="str">
        <f>"131024198812260738"</f>
        <v>131024198812260738</v>
      </c>
      <c r="N4" s="24" t="s">
        <v>62</v>
      </c>
      <c r="O4" s="1" t="str">
        <f>"131024198812260738"</f>
        <v>131024198812260738</v>
      </c>
      <c r="P4" s="23" t="s">
        <v>63</v>
      </c>
      <c r="Q4" s="23">
        <v>45103</v>
      </c>
      <c r="R4" s="32">
        <v>45469</v>
      </c>
      <c r="V4" s="33">
        <v>100</v>
      </c>
      <c r="W4" s="28">
        <v>64.29</v>
      </c>
      <c r="X4" s="34" t="s">
        <v>54</v>
      </c>
      <c r="Y4" s="33">
        <v>64.29</v>
      </c>
      <c r="Z4" s="37"/>
      <c r="AA4" s="36"/>
      <c r="AC4" s="28">
        <v>64.29</v>
      </c>
      <c r="AD4" s="34" t="s">
        <v>54</v>
      </c>
      <c r="AE4" s="33">
        <v>64.29</v>
      </c>
      <c r="AN4" s="7" t="s">
        <v>54</v>
      </c>
      <c r="AO4" s="7" t="s">
        <v>55</v>
      </c>
      <c r="AP4" s="7" t="s">
        <v>56</v>
      </c>
      <c r="AT4" s="47" t="s">
        <v>57</v>
      </c>
      <c r="AU4" s="47" t="s">
        <v>57</v>
      </c>
    </row>
    <row r="5" spans="1:47">
      <c r="A5" s="4" t="s">
        <v>48</v>
      </c>
      <c r="C5" s="21"/>
      <c r="D5" s="22" t="s">
        <v>49</v>
      </c>
      <c r="G5" s="23">
        <v>45092</v>
      </c>
      <c r="H5" s="24" t="s">
        <v>64</v>
      </c>
      <c r="I5" s="29"/>
      <c r="J5" s="28" t="s">
        <v>51</v>
      </c>
      <c r="L5" s="24" t="s">
        <v>65</v>
      </c>
      <c r="M5" s="1" t="str">
        <f>"34210119610116061X"</f>
        <v>34210119610116061X</v>
      </c>
      <c r="N5" s="24" t="s">
        <v>65</v>
      </c>
      <c r="O5" s="1" t="str">
        <f>"34210119610116061X"</f>
        <v>34210119610116061X</v>
      </c>
      <c r="P5" s="23" t="s">
        <v>66</v>
      </c>
      <c r="Q5" s="23">
        <v>45303</v>
      </c>
      <c r="R5" s="32">
        <v>45669</v>
      </c>
      <c r="V5" s="33">
        <v>100</v>
      </c>
      <c r="W5" s="28">
        <v>64.29</v>
      </c>
      <c r="X5" s="34" t="s">
        <v>54</v>
      </c>
      <c r="Y5" s="33">
        <v>64.29</v>
      </c>
      <c r="Z5" s="37"/>
      <c r="AA5" s="36"/>
      <c r="AC5" s="28">
        <v>64.29</v>
      </c>
      <c r="AD5" s="34" t="s">
        <v>54</v>
      </c>
      <c r="AE5" s="33">
        <v>64.29</v>
      </c>
      <c r="AN5" s="7" t="s">
        <v>54</v>
      </c>
      <c r="AO5" s="7" t="s">
        <v>55</v>
      </c>
      <c r="AP5" s="7" t="s">
        <v>56</v>
      </c>
      <c r="AT5" s="47" t="s">
        <v>57</v>
      </c>
      <c r="AU5" s="47" t="s">
        <v>57</v>
      </c>
    </row>
    <row r="6" spans="1:47">
      <c r="A6" s="4" t="s">
        <v>48</v>
      </c>
      <c r="C6" s="21"/>
      <c r="D6" s="22" t="s">
        <v>49</v>
      </c>
      <c r="G6" s="23">
        <v>45092</v>
      </c>
      <c r="H6" s="24" t="s">
        <v>67</v>
      </c>
      <c r="I6" s="29"/>
      <c r="J6" s="28" t="s">
        <v>51</v>
      </c>
      <c r="L6" s="24" t="s">
        <v>68</v>
      </c>
      <c r="M6" s="1" t="str">
        <f>"341225199305160039"</f>
        <v>341225199305160039</v>
      </c>
      <c r="N6" s="24" t="s">
        <v>68</v>
      </c>
      <c r="O6" s="1" t="str">
        <f>"341225199305160039"</f>
        <v>341225199305160039</v>
      </c>
      <c r="P6" s="23" t="s">
        <v>69</v>
      </c>
      <c r="Q6" s="23">
        <v>45093</v>
      </c>
      <c r="R6" s="32">
        <v>45459</v>
      </c>
      <c r="V6" s="33">
        <v>100</v>
      </c>
      <c r="W6" s="28">
        <v>64.29</v>
      </c>
      <c r="X6" s="34" t="s">
        <v>54</v>
      </c>
      <c r="Y6" s="33">
        <v>64.29</v>
      </c>
      <c r="Z6" s="37"/>
      <c r="AA6" s="36"/>
      <c r="AC6" s="28">
        <v>64.29</v>
      </c>
      <c r="AD6" s="34" t="s">
        <v>54</v>
      </c>
      <c r="AE6" s="33">
        <v>64.29</v>
      </c>
      <c r="AN6" s="7" t="s">
        <v>54</v>
      </c>
      <c r="AO6" s="7" t="s">
        <v>55</v>
      </c>
      <c r="AP6" s="7" t="s">
        <v>56</v>
      </c>
      <c r="AT6" s="47" t="s">
        <v>57</v>
      </c>
      <c r="AU6" s="47" t="s">
        <v>57</v>
      </c>
    </row>
    <row r="7" spans="1:47">
      <c r="A7" s="4" t="s">
        <v>48</v>
      </c>
      <c r="C7" s="21"/>
      <c r="D7" s="22" t="s">
        <v>49</v>
      </c>
      <c r="G7" s="23">
        <v>45091</v>
      </c>
      <c r="H7" s="24" t="s">
        <v>70</v>
      </c>
      <c r="I7" s="29"/>
      <c r="J7" s="28" t="s">
        <v>51</v>
      </c>
      <c r="L7" s="24" t="s">
        <v>71</v>
      </c>
      <c r="M7" s="1" t="str">
        <f>"210723196306090010"</f>
        <v>210723196306090010</v>
      </c>
      <c r="N7" s="24" t="s">
        <v>71</v>
      </c>
      <c r="O7" s="1" t="str">
        <f>"210723196306090010"</f>
        <v>210723196306090010</v>
      </c>
      <c r="P7" s="23" t="s">
        <v>72</v>
      </c>
      <c r="Q7" s="23">
        <v>45092</v>
      </c>
      <c r="R7" s="32">
        <v>45458</v>
      </c>
      <c r="V7" s="33">
        <v>100</v>
      </c>
      <c r="W7" s="28">
        <v>64.29</v>
      </c>
      <c r="X7" s="34" t="s">
        <v>54</v>
      </c>
      <c r="Y7" s="33">
        <v>64.29</v>
      </c>
      <c r="Z7" s="37"/>
      <c r="AA7" s="36"/>
      <c r="AC7" s="28">
        <v>64.29</v>
      </c>
      <c r="AD7" s="34" t="s">
        <v>54</v>
      </c>
      <c r="AE7" s="33">
        <v>64.29</v>
      </c>
      <c r="AN7" s="7" t="s">
        <v>54</v>
      </c>
      <c r="AO7" s="7" t="s">
        <v>55</v>
      </c>
      <c r="AP7" s="7" t="s">
        <v>56</v>
      </c>
      <c r="AT7" s="47" t="s">
        <v>57</v>
      </c>
      <c r="AU7" s="47" t="s">
        <v>57</v>
      </c>
    </row>
    <row r="8" spans="1:47">
      <c r="A8" s="4" t="s">
        <v>48</v>
      </c>
      <c r="C8" s="21"/>
      <c r="D8" s="22" t="s">
        <v>49</v>
      </c>
      <c r="G8" s="23">
        <v>45091</v>
      </c>
      <c r="H8" s="24" t="s">
        <v>73</v>
      </c>
      <c r="I8" s="29"/>
      <c r="J8" s="28" t="s">
        <v>51</v>
      </c>
      <c r="L8" s="24" t="s">
        <v>74</v>
      </c>
      <c r="M8" s="1" t="str">
        <f>"341202199003073381"</f>
        <v>341202199003073381</v>
      </c>
      <c r="N8" s="24" t="s">
        <v>74</v>
      </c>
      <c r="O8" s="1" t="str">
        <f>"341202199003073381"</f>
        <v>341202199003073381</v>
      </c>
      <c r="P8" s="23" t="s">
        <v>75</v>
      </c>
      <c r="Q8" s="23">
        <v>45214</v>
      </c>
      <c r="R8" s="32">
        <v>45580</v>
      </c>
      <c r="V8" s="33">
        <v>100</v>
      </c>
      <c r="W8" s="28">
        <v>64.29</v>
      </c>
      <c r="X8" s="34" t="s">
        <v>54</v>
      </c>
      <c r="Y8" s="33">
        <v>64.29</v>
      </c>
      <c r="Z8" s="37"/>
      <c r="AA8" s="36"/>
      <c r="AC8" s="28">
        <v>64.29</v>
      </c>
      <c r="AD8" s="34" t="s">
        <v>54</v>
      </c>
      <c r="AE8" s="33">
        <v>64.29</v>
      </c>
      <c r="AN8" s="7" t="s">
        <v>54</v>
      </c>
      <c r="AO8" s="7" t="s">
        <v>55</v>
      </c>
      <c r="AP8" s="7" t="s">
        <v>56</v>
      </c>
      <c r="AT8" s="47" t="s">
        <v>57</v>
      </c>
      <c r="AU8" s="47" t="s">
        <v>57</v>
      </c>
    </row>
    <row r="9" spans="1:47">
      <c r="A9" s="4" t="s">
        <v>48</v>
      </c>
      <c r="C9" s="21"/>
      <c r="D9" s="22" t="s">
        <v>49</v>
      </c>
      <c r="G9" s="23">
        <v>45091</v>
      </c>
      <c r="H9" s="24" t="s">
        <v>76</v>
      </c>
      <c r="I9" s="29"/>
      <c r="J9" s="28" t="s">
        <v>51</v>
      </c>
      <c r="L9" s="24" t="s">
        <v>77</v>
      </c>
      <c r="M9" s="1" t="str">
        <f>"341202198705183310"</f>
        <v>341202198705183310</v>
      </c>
      <c r="N9" s="24" t="s">
        <v>77</v>
      </c>
      <c r="O9" s="1" t="str">
        <f>"341202198705183310"</f>
        <v>341202198705183310</v>
      </c>
      <c r="P9" s="23" t="s">
        <v>78</v>
      </c>
      <c r="Q9" s="23">
        <v>45092</v>
      </c>
      <c r="R9" s="32">
        <v>45458</v>
      </c>
      <c r="V9" s="33">
        <v>100</v>
      </c>
      <c r="W9" s="28">
        <v>64.29</v>
      </c>
      <c r="X9" s="34" t="s">
        <v>54</v>
      </c>
      <c r="Y9" s="33">
        <v>64.29</v>
      </c>
      <c r="Z9" s="37"/>
      <c r="AA9" s="36"/>
      <c r="AC9" s="28">
        <v>64.29</v>
      </c>
      <c r="AD9" s="34" t="s">
        <v>54</v>
      </c>
      <c r="AE9" s="33">
        <v>64.29</v>
      </c>
      <c r="AN9" s="7" t="s">
        <v>54</v>
      </c>
      <c r="AO9" s="7" t="s">
        <v>55</v>
      </c>
      <c r="AP9" s="7" t="s">
        <v>56</v>
      </c>
      <c r="AT9" s="47" t="s">
        <v>57</v>
      </c>
      <c r="AU9" s="47" t="s">
        <v>57</v>
      </c>
    </row>
    <row r="10" spans="1:47">
      <c r="A10" s="4" t="s">
        <v>48</v>
      </c>
      <c r="C10" s="21"/>
      <c r="D10" s="22" t="s">
        <v>49</v>
      </c>
      <c r="G10" s="23">
        <v>45092</v>
      </c>
      <c r="H10" s="24" t="s">
        <v>79</v>
      </c>
      <c r="I10" s="29"/>
      <c r="J10" s="28" t="s">
        <v>51</v>
      </c>
      <c r="L10" s="24" t="s">
        <v>80</v>
      </c>
      <c r="M10" s="1" t="str">
        <f>"342127197706261091"</f>
        <v>342127197706261091</v>
      </c>
      <c r="N10" s="24" t="s">
        <v>80</v>
      </c>
      <c r="O10" s="1" t="str">
        <f>"342127197706261091"</f>
        <v>342127197706261091</v>
      </c>
      <c r="P10" s="23" t="s">
        <v>81</v>
      </c>
      <c r="Q10" s="23">
        <v>45093</v>
      </c>
      <c r="R10" s="32">
        <v>45459</v>
      </c>
      <c r="V10" s="33">
        <v>100</v>
      </c>
      <c r="W10" s="28">
        <v>64.29</v>
      </c>
      <c r="X10" s="34" t="s">
        <v>54</v>
      </c>
      <c r="Y10" s="33">
        <v>64.29</v>
      </c>
      <c r="Z10" s="37"/>
      <c r="AA10" s="36"/>
      <c r="AC10" s="28">
        <v>64.29</v>
      </c>
      <c r="AD10" s="34" t="s">
        <v>54</v>
      </c>
      <c r="AE10" s="33">
        <v>64.29</v>
      </c>
      <c r="AN10" s="7" t="s">
        <v>54</v>
      </c>
      <c r="AO10" s="7" t="s">
        <v>55</v>
      </c>
      <c r="AP10" s="7" t="s">
        <v>56</v>
      </c>
      <c r="AT10" s="47" t="s">
        <v>57</v>
      </c>
      <c r="AU10" s="47" t="s">
        <v>57</v>
      </c>
    </row>
    <row r="11" spans="1:47">
      <c r="A11" s="4" t="s">
        <v>48</v>
      </c>
      <c r="C11" s="21"/>
      <c r="D11" s="22" t="s">
        <v>49</v>
      </c>
      <c r="G11" s="23">
        <v>45079</v>
      </c>
      <c r="H11" s="24" t="s">
        <v>82</v>
      </c>
      <c r="I11" s="29"/>
      <c r="J11" s="28" t="s">
        <v>51</v>
      </c>
      <c r="L11" s="24" t="s">
        <v>83</v>
      </c>
      <c r="M11" s="1" t="str">
        <f>"341202198806033338"</f>
        <v>341202198806033338</v>
      </c>
      <c r="N11" s="24" t="s">
        <v>83</v>
      </c>
      <c r="O11" s="1" t="str">
        <f>"341202198806033338"</f>
        <v>341202198806033338</v>
      </c>
      <c r="P11" s="23" t="s">
        <v>84</v>
      </c>
      <c r="Q11" s="23">
        <v>45087</v>
      </c>
      <c r="R11" s="32">
        <v>45453</v>
      </c>
      <c r="V11" s="33">
        <v>100</v>
      </c>
      <c r="W11" s="28">
        <v>64.29</v>
      </c>
      <c r="X11" s="34" t="s">
        <v>54</v>
      </c>
      <c r="Y11" s="33">
        <v>64.29</v>
      </c>
      <c r="Z11" s="37"/>
      <c r="AA11" s="36"/>
      <c r="AC11" s="28">
        <v>64.29</v>
      </c>
      <c r="AD11" s="34" t="s">
        <v>54</v>
      </c>
      <c r="AE11" s="33">
        <v>64.29</v>
      </c>
      <c r="AN11" s="7" t="s">
        <v>54</v>
      </c>
      <c r="AO11" s="7" t="s">
        <v>55</v>
      </c>
      <c r="AP11" s="7" t="s">
        <v>56</v>
      </c>
      <c r="AT11" s="47" t="s">
        <v>57</v>
      </c>
      <c r="AU11" s="47" t="s">
        <v>57</v>
      </c>
    </row>
    <row r="12" spans="1:47">
      <c r="A12" s="4" t="s">
        <v>48</v>
      </c>
      <c r="C12" s="21"/>
      <c r="D12" s="22" t="s">
        <v>49</v>
      </c>
      <c r="G12" s="23">
        <v>45084</v>
      </c>
      <c r="H12" s="24" t="s">
        <v>85</v>
      </c>
      <c r="I12" s="29"/>
      <c r="J12" s="28" t="s">
        <v>51</v>
      </c>
      <c r="L12" s="24" t="s">
        <v>86</v>
      </c>
      <c r="M12" s="1" t="str">
        <f>"341226198710272327"</f>
        <v>341226198710272327</v>
      </c>
      <c r="N12" s="24" t="s">
        <v>86</v>
      </c>
      <c r="O12" s="1" t="str">
        <f>"341226198710272327"</f>
        <v>341226198710272327</v>
      </c>
      <c r="P12" s="23" t="s">
        <v>84</v>
      </c>
      <c r="Q12" s="23">
        <v>45170</v>
      </c>
      <c r="R12" s="32">
        <v>45536</v>
      </c>
      <c r="V12" s="33">
        <v>200</v>
      </c>
      <c r="W12" s="28">
        <v>64.29</v>
      </c>
      <c r="X12" s="34" t="s">
        <v>54</v>
      </c>
      <c r="Y12" s="33">
        <v>128.58</v>
      </c>
      <c r="Z12" s="37"/>
      <c r="AA12" s="36"/>
      <c r="AC12" s="28">
        <v>64.29</v>
      </c>
      <c r="AD12" s="34" t="s">
        <v>54</v>
      </c>
      <c r="AE12" s="33">
        <v>128.58</v>
      </c>
      <c r="AN12" s="7" t="s">
        <v>54</v>
      </c>
      <c r="AO12" s="7" t="s">
        <v>55</v>
      </c>
      <c r="AP12" s="7" t="s">
        <v>56</v>
      </c>
      <c r="AT12" s="47" t="s">
        <v>57</v>
      </c>
      <c r="AU12" s="47" t="s">
        <v>57</v>
      </c>
    </row>
    <row r="13" spans="1:47">
      <c r="A13" s="4" t="s">
        <v>48</v>
      </c>
      <c r="C13" s="21"/>
      <c r="D13" s="22" t="s">
        <v>49</v>
      </c>
      <c r="G13" s="23">
        <v>45079</v>
      </c>
      <c r="H13" s="24" t="s">
        <v>87</v>
      </c>
      <c r="I13" s="29"/>
      <c r="J13" s="28" t="s">
        <v>51</v>
      </c>
      <c r="L13" s="24" t="s">
        <v>88</v>
      </c>
      <c r="M13" s="1" t="str">
        <f>"342122196612010279"</f>
        <v>342122196612010279</v>
      </c>
      <c r="N13" s="24" t="s">
        <v>88</v>
      </c>
      <c r="O13" s="1" t="str">
        <f>"342122196612010279"</f>
        <v>342122196612010279</v>
      </c>
      <c r="P13" s="23" t="s">
        <v>89</v>
      </c>
      <c r="Q13" s="23">
        <v>45290</v>
      </c>
      <c r="R13" s="32">
        <v>45656</v>
      </c>
      <c r="V13" s="33">
        <v>200</v>
      </c>
      <c r="W13" s="28">
        <v>64.29</v>
      </c>
      <c r="X13" s="34" t="s">
        <v>54</v>
      </c>
      <c r="Y13" s="33">
        <v>128.58</v>
      </c>
      <c r="Z13" s="37"/>
      <c r="AA13" s="36"/>
      <c r="AC13" s="28">
        <v>64.29</v>
      </c>
      <c r="AD13" s="34" t="s">
        <v>54</v>
      </c>
      <c r="AE13" s="33">
        <v>128.58</v>
      </c>
      <c r="AN13" s="7" t="s">
        <v>54</v>
      </c>
      <c r="AO13" s="7" t="s">
        <v>55</v>
      </c>
      <c r="AP13" s="7" t="s">
        <v>56</v>
      </c>
      <c r="AT13" s="47" t="s">
        <v>57</v>
      </c>
      <c r="AU13" s="47" t="s">
        <v>57</v>
      </c>
    </row>
    <row r="14" spans="1:47">
      <c r="A14" s="4" t="s">
        <v>48</v>
      </c>
      <c r="C14" s="21"/>
      <c r="D14" s="22" t="s">
        <v>49</v>
      </c>
      <c r="G14" s="23">
        <v>45102</v>
      </c>
      <c r="H14" s="24" t="s">
        <v>90</v>
      </c>
      <c r="I14" s="29"/>
      <c r="J14" s="28" t="s">
        <v>51</v>
      </c>
      <c r="L14" s="24" t="s">
        <v>91</v>
      </c>
      <c r="M14" s="1" t="str">
        <f>"341225198606177032"</f>
        <v>341225198606177032</v>
      </c>
      <c r="N14" s="24" t="s">
        <v>91</v>
      </c>
      <c r="O14" s="1" t="str">
        <f>"341225198606177032"</f>
        <v>341225198606177032</v>
      </c>
      <c r="P14" s="23" t="s">
        <v>92</v>
      </c>
      <c r="Q14" s="23">
        <v>45103</v>
      </c>
      <c r="R14" s="32">
        <v>45469</v>
      </c>
      <c r="V14" s="33">
        <v>50</v>
      </c>
      <c r="W14" s="28">
        <v>64.29</v>
      </c>
      <c r="X14" s="34" t="s">
        <v>54</v>
      </c>
      <c r="Y14" s="33">
        <v>32.15</v>
      </c>
      <c r="Z14" s="37"/>
      <c r="AA14" s="36"/>
      <c r="AC14" s="28">
        <v>64.29</v>
      </c>
      <c r="AD14" s="34" t="s">
        <v>54</v>
      </c>
      <c r="AE14" s="33">
        <v>32.15</v>
      </c>
      <c r="AN14" s="7" t="s">
        <v>54</v>
      </c>
      <c r="AO14" s="7" t="s">
        <v>55</v>
      </c>
      <c r="AP14" s="7" t="s">
        <v>56</v>
      </c>
      <c r="AT14" s="47" t="s">
        <v>57</v>
      </c>
      <c r="AU14" s="47" t="s">
        <v>57</v>
      </c>
    </row>
    <row r="15" spans="1:47">
      <c r="A15" s="4" t="s">
        <v>48</v>
      </c>
      <c r="C15" s="21"/>
      <c r="D15" s="22" t="s">
        <v>49</v>
      </c>
      <c r="G15" s="23">
        <v>45102</v>
      </c>
      <c r="H15" s="24" t="s">
        <v>93</v>
      </c>
      <c r="I15" s="29"/>
      <c r="J15" s="28" t="s">
        <v>51</v>
      </c>
      <c r="L15" s="24" t="s">
        <v>94</v>
      </c>
      <c r="M15" s="1" t="str">
        <f>"341204198510011466"</f>
        <v>341204198510011466</v>
      </c>
      <c r="N15" s="24" t="s">
        <v>94</v>
      </c>
      <c r="O15" s="1" t="str">
        <f>"341204198510011466"</f>
        <v>341204198510011466</v>
      </c>
      <c r="P15" s="23" t="s">
        <v>95</v>
      </c>
      <c r="Q15" s="23">
        <v>45103</v>
      </c>
      <c r="R15" s="32">
        <v>45469</v>
      </c>
      <c r="V15" s="33">
        <v>100</v>
      </c>
      <c r="W15" s="28">
        <v>64.29</v>
      </c>
      <c r="X15" s="34" t="s">
        <v>54</v>
      </c>
      <c r="Y15" s="33">
        <v>64.29</v>
      </c>
      <c r="Z15" s="37"/>
      <c r="AA15" s="36"/>
      <c r="AC15" s="28">
        <v>64.29</v>
      </c>
      <c r="AD15" s="34" t="s">
        <v>54</v>
      </c>
      <c r="AE15" s="33">
        <v>64.29</v>
      </c>
      <c r="AN15" s="7" t="s">
        <v>54</v>
      </c>
      <c r="AO15" s="7" t="s">
        <v>55</v>
      </c>
      <c r="AP15" s="7" t="s">
        <v>56</v>
      </c>
      <c r="AT15" s="47" t="s">
        <v>57</v>
      </c>
      <c r="AU15" s="47" t="s">
        <v>57</v>
      </c>
    </row>
    <row r="16" spans="1:47">
      <c r="A16" s="4" t="s">
        <v>48</v>
      </c>
      <c r="C16" s="21"/>
      <c r="D16" s="22" t="s">
        <v>49</v>
      </c>
      <c r="G16" s="23">
        <v>45082</v>
      </c>
      <c r="H16" s="24" t="s">
        <v>96</v>
      </c>
      <c r="I16" s="29"/>
      <c r="J16" s="28" t="s">
        <v>51</v>
      </c>
      <c r="L16" s="24" t="s">
        <v>97</v>
      </c>
      <c r="M16" s="1" t="str">
        <f>"341202198112110239"</f>
        <v>341202198112110239</v>
      </c>
      <c r="N16" s="24" t="s">
        <v>97</v>
      </c>
      <c r="O16" s="1" t="str">
        <f>"341202198112110239"</f>
        <v>341202198112110239</v>
      </c>
      <c r="P16" s="23" t="s">
        <v>98</v>
      </c>
      <c r="Q16" s="23">
        <v>45205</v>
      </c>
      <c r="R16" s="32">
        <v>45571</v>
      </c>
      <c r="V16" s="33">
        <v>100</v>
      </c>
      <c r="W16" s="28">
        <v>64.29</v>
      </c>
      <c r="X16" s="34" t="s">
        <v>54</v>
      </c>
      <c r="Y16" s="33">
        <v>64.29</v>
      </c>
      <c r="Z16" s="37"/>
      <c r="AA16" s="36"/>
      <c r="AC16" s="28">
        <v>64.29</v>
      </c>
      <c r="AD16" s="34" t="s">
        <v>54</v>
      </c>
      <c r="AE16" s="33">
        <v>64.29</v>
      </c>
      <c r="AN16" s="7" t="s">
        <v>54</v>
      </c>
      <c r="AO16" s="7" t="s">
        <v>55</v>
      </c>
      <c r="AP16" s="7" t="s">
        <v>56</v>
      </c>
      <c r="AT16" s="47" t="s">
        <v>57</v>
      </c>
      <c r="AU16" s="47" t="s">
        <v>57</v>
      </c>
    </row>
    <row r="17" spans="1:47">
      <c r="A17" s="4" t="s">
        <v>48</v>
      </c>
      <c r="C17" s="21"/>
      <c r="D17" s="22" t="s">
        <v>49</v>
      </c>
      <c r="G17" s="23">
        <v>45082</v>
      </c>
      <c r="H17" s="24" t="s">
        <v>99</v>
      </c>
      <c r="I17" s="29"/>
      <c r="J17" s="28" t="s">
        <v>51</v>
      </c>
      <c r="L17" s="24" t="s">
        <v>100</v>
      </c>
      <c r="M17" s="1" t="str">
        <f>"341226198503202430"</f>
        <v>341226198503202430</v>
      </c>
      <c r="N17" s="24" t="s">
        <v>100</v>
      </c>
      <c r="O17" s="1" t="str">
        <f>"341226198503202430"</f>
        <v>341226198503202430</v>
      </c>
      <c r="P17" s="23" t="s">
        <v>101</v>
      </c>
      <c r="Q17" s="23">
        <v>45139</v>
      </c>
      <c r="R17" s="32">
        <v>45505</v>
      </c>
      <c r="V17" s="33">
        <v>100</v>
      </c>
      <c r="W17" s="28">
        <v>64.29</v>
      </c>
      <c r="X17" s="34" t="s">
        <v>54</v>
      </c>
      <c r="Y17" s="33">
        <v>64.29</v>
      </c>
      <c r="Z17" s="37"/>
      <c r="AA17" s="36"/>
      <c r="AC17" s="28">
        <v>64.29</v>
      </c>
      <c r="AD17" s="34" t="s">
        <v>54</v>
      </c>
      <c r="AE17" s="33">
        <v>64.29</v>
      </c>
      <c r="AN17" s="7" t="s">
        <v>54</v>
      </c>
      <c r="AO17" s="7" t="s">
        <v>55</v>
      </c>
      <c r="AP17" s="7" t="s">
        <v>56</v>
      </c>
      <c r="AT17" s="47" t="s">
        <v>57</v>
      </c>
      <c r="AU17" s="47" t="s">
        <v>57</v>
      </c>
    </row>
    <row r="18" spans="1:47">
      <c r="A18" s="4" t="s">
        <v>48</v>
      </c>
      <c r="C18" s="21"/>
      <c r="D18" s="22" t="s">
        <v>49</v>
      </c>
      <c r="G18" s="23">
        <v>45079</v>
      </c>
      <c r="H18" s="24" t="s">
        <v>102</v>
      </c>
      <c r="I18" s="29"/>
      <c r="J18" s="28" t="s">
        <v>51</v>
      </c>
      <c r="L18" s="24" t="s">
        <v>103</v>
      </c>
      <c r="M18" s="1" t="str">
        <f>"370828198805012034"</f>
        <v>370828198805012034</v>
      </c>
      <c r="N18" s="24" t="s">
        <v>103</v>
      </c>
      <c r="O18" s="1" t="str">
        <f>"370828198805012034"</f>
        <v>370828198805012034</v>
      </c>
      <c r="P18" s="23" t="s">
        <v>104</v>
      </c>
      <c r="Q18" s="23">
        <v>45290</v>
      </c>
      <c r="R18" s="32">
        <v>45656</v>
      </c>
      <c r="V18" s="33">
        <v>200</v>
      </c>
      <c r="W18" s="28">
        <v>64.29</v>
      </c>
      <c r="X18" s="34" t="s">
        <v>54</v>
      </c>
      <c r="Y18" s="33">
        <v>128.58</v>
      </c>
      <c r="Z18" s="37"/>
      <c r="AA18" s="36"/>
      <c r="AC18" s="28">
        <v>64.29</v>
      </c>
      <c r="AD18" s="34" t="s">
        <v>54</v>
      </c>
      <c r="AE18" s="33">
        <v>128.58</v>
      </c>
      <c r="AN18" s="7" t="s">
        <v>54</v>
      </c>
      <c r="AO18" s="7" t="s">
        <v>55</v>
      </c>
      <c r="AP18" s="7" t="s">
        <v>56</v>
      </c>
      <c r="AT18" s="47" t="s">
        <v>57</v>
      </c>
      <c r="AU18" s="47" t="s">
        <v>57</v>
      </c>
    </row>
    <row r="19" spans="1:47">
      <c r="A19" s="4" t="s">
        <v>48</v>
      </c>
      <c r="C19" s="21"/>
      <c r="D19" s="22" t="s">
        <v>49</v>
      </c>
      <c r="G19" s="23">
        <v>45079</v>
      </c>
      <c r="H19" s="24" t="s">
        <v>105</v>
      </c>
      <c r="I19" s="29"/>
      <c r="J19" s="28" t="s">
        <v>51</v>
      </c>
      <c r="L19" s="24" t="s">
        <v>106</v>
      </c>
      <c r="M19" s="1" t="str">
        <f>"341204199710150414"</f>
        <v>341204199710150414</v>
      </c>
      <c r="N19" s="24" t="s">
        <v>106</v>
      </c>
      <c r="O19" s="1" t="str">
        <f>"341204199710150414"</f>
        <v>341204199710150414</v>
      </c>
      <c r="P19" s="23" t="s">
        <v>107</v>
      </c>
      <c r="Q19" s="23">
        <v>45080</v>
      </c>
      <c r="R19" s="32">
        <v>45446</v>
      </c>
      <c r="V19" s="33">
        <v>200</v>
      </c>
      <c r="W19" s="28">
        <v>64.29</v>
      </c>
      <c r="X19" s="34" t="s">
        <v>54</v>
      </c>
      <c r="Y19" s="33">
        <v>128.58</v>
      </c>
      <c r="Z19" s="37"/>
      <c r="AA19" s="36"/>
      <c r="AC19" s="28">
        <v>64.29</v>
      </c>
      <c r="AD19" s="34" t="s">
        <v>54</v>
      </c>
      <c r="AE19" s="33">
        <v>128.58</v>
      </c>
      <c r="AN19" s="7" t="s">
        <v>54</v>
      </c>
      <c r="AO19" s="7" t="s">
        <v>55</v>
      </c>
      <c r="AP19" s="7" t="s">
        <v>56</v>
      </c>
      <c r="AT19" s="47" t="s">
        <v>57</v>
      </c>
      <c r="AU19" s="47" t="s">
        <v>57</v>
      </c>
    </row>
    <row r="20" spans="1:47">
      <c r="A20" s="4" t="s">
        <v>48</v>
      </c>
      <c r="C20" s="21"/>
      <c r="D20" s="22" t="s">
        <v>49</v>
      </c>
      <c r="G20" s="23">
        <v>45097</v>
      </c>
      <c r="H20" s="24" t="s">
        <v>108</v>
      </c>
      <c r="I20" s="29"/>
      <c r="J20" s="28" t="s">
        <v>51</v>
      </c>
      <c r="L20" s="24" t="s">
        <v>109</v>
      </c>
      <c r="M20" s="1" t="str">
        <f>"341221198809031097"</f>
        <v>341221198809031097</v>
      </c>
      <c r="N20" s="24" t="s">
        <v>109</v>
      </c>
      <c r="O20" s="1" t="str">
        <f>"341221198809031097"</f>
        <v>341221198809031097</v>
      </c>
      <c r="P20" s="23" t="s">
        <v>110</v>
      </c>
      <c r="Q20" s="23">
        <v>45098</v>
      </c>
      <c r="R20" s="32">
        <v>45464</v>
      </c>
      <c r="V20" s="33">
        <v>50</v>
      </c>
      <c r="W20" s="28">
        <v>64.29</v>
      </c>
      <c r="X20" s="34" t="s">
        <v>54</v>
      </c>
      <c r="Y20" s="33">
        <v>32.15</v>
      </c>
      <c r="Z20" s="37"/>
      <c r="AA20" s="36"/>
      <c r="AC20" s="28">
        <v>64.29</v>
      </c>
      <c r="AD20" s="34" t="s">
        <v>54</v>
      </c>
      <c r="AE20" s="33">
        <v>32.15</v>
      </c>
      <c r="AN20" s="7" t="s">
        <v>54</v>
      </c>
      <c r="AO20" s="7" t="s">
        <v>55</v>
      </c>
      <c r="AP20" s="7" t="s">
        <v>56</v>
      </c>
      <c r="AT20" s="47" t="s">
        <v>57</v>
      </c>
      <c r="AU20" s="47" t="s">
        <v>57</v>
      </c>
    </row>
    <row r="21" spans="1:47">
      <c r="A21" s="4" t="s">
        <v>48</v>
      </c>
      <c r="C21" s="21"/>
      <c r="D21" s="22" t="s">
        <v>49</v>
      </c>
      <c r="G21" s="23">
        <v>45096</v>
      </c>
      <c r="H21" s="24" t="s">
        <v>111</v>
      </c>
      <c r="I21" s="29"/>
      <c r="J21" s="28" t="s">
        <v>51</v>
      </c>
      <c r="L21" s="24" t="s">
        <v>112</v>
      </c>
      <c r="M21" s="1" t="str">
        <f>"341221198002108727"</f>
        <v>341221198002108727</v>
      </c>
      <c r="N21" s="24" t="s">
        <v>112</v>
      </c>
      <c r="O21" s="1" t="str">
        <f>"341221198002108727"</f>
        <v>341221198002108727</v>
      </c>
      <c r="P21" s="23" t="s">
        <v>113</v>
      </c>
      <c r="Q21" s="23">
        <v>45097</v>
      </c>
      <c r="R21" s="32">
        <v>45463</v>
      </c>
      <c r="V21" s="33">
        <v>50</v>
      </c>
      <c r="W21" s="28">
        <v>64.29</v>
      </c>
      <c r="X21" s="34" t="s">
        <v>54</v>
      </c>
      <c r="Y21" s="33">
        <v>32.15</v>
      </c>
      <c r="Z21" s="37"/>
      <c r="AA21" s="36"/>
      <c r="AC21" s="28">
        <v>64.29</v>
      </c>
      <c r="AD21" s="34" t="s">
        <v>54</v>
      </c>
      <c r="AE21" s="33">
        <v>32.15</v>
      </c>
      <c r="AN21" s="7" t="s">
        <v>54</v>
      </c>
      <c r="AO21" s="7" t="s">
        <v>55</v>
      </c>
      <c r="AP21" s="7" t="s">
        <v>56</v>
      </c>
      <c r="AT21" s="47" t="s">
        <v>57</v>
      </c>
      <c r="AU21" s="47" t="s">
        <v>57</v>
      </c>
    </row>
    <row r="22" spans="1:47">
      <c r="A22" s="4" t="s">
        <v>48</v>
      </c>
      <c r="C22" s="21"/>
      <c r="D22" s="22" t="s">
        <v>49</v>
      </c>
      <c r="G22" s="23">
        <v>45102</v>
      </c>
      <c r="H22" s="24" t="s">
        <v>114</v>
      </c>
      <c r="I22" s="29"/>
      <c r="J22" s="28" t="s">
        <v>51</v>
      </c>
      <c r="L22" s="24" t="s">
        <v>115</v>
      </c>
      <c r="M22" s="1" t="str">
        <f>"341202198909162925"</f>
        <v>341202198909162925</v>
      </c>
      <c r="N22" s="24" t="s">
        <v>115</v>
      </c>
      <c r="O22" s="1" t="str">
        <f>"341202198909162925"</f>
        <v>341202198909162925</v>
      </c>
      <c r="P22" s="23" t="s">
        <v>116</v>
      </c>
      <c r="Q22" s="23">
        <v>45103</v>
      </c>
      <c r="R22" s="32">
        <v>45469</v>
      </c>
      <c r="V22" s="33">
        <v>100</v>
      </c>
      <c r="W22" s="28">
        <v>64.29</v>
      </c>
      <c r="X22" s="34" t="s">
        <v>54</v>
      </c>
      <c r="Y22" s="33">
        <v>64.29</v>
      </c>
      <c r="Z22" s="37"/>
      <c r="AA22" s="36"/>
      <c r="AC22" s="28">
        <v>64.29</v>
      </c>
      <c r="AD22" s="34" t="s">
        <v>54</v>
      </c>
      <c r="AE22" s="33">
        <v>64.29</v>
      </c>
      <c r="AN22" s="7" t="s">
        <v>54</v>
      </c>
      <c r="AO22" s="7" t="s">
        <v>55</v>
      </c>
      <c r="AP22" s="7" t="s">
        <v>56</v>
      </c>
      <c r="AT22" s="47" t="s">
        <v>57</v>
      </c>
      <c r="AU22" s="47" t="s">
        <v>57</v>
      </c>
    </row>
    <row r="23" spans="1:47">
      <c r="A23" s="4" t="s">
        <v>48</v>
      </c>
      <c r="C23" s="21"/>
      <c r="D23" s="22" t="s">
        <v>49</v>
      </c>
      <c r="G23" s="23">
        <v>45089</v>
      </c>
      <c r="H23" s="24" t="s">
        <v>117</v>
      </c>
      <c r="I23" s="29"/>
      <c r="J23" s="28" t="s">
        <v>51</v>
      </c>
      <c r="L23" s="24" t="s">
        <v>118</v>
      </c>
      <c r="M23" s="1" t="str">
        <f>"132825196701222415"</f>
        <v>132825196701222415</v>
      </c>
      <c r="N23" s="24" t="s">
        <v>118</v>
      </c>
      <c r="O23" s="1" t="str">
        <f>"132825196701222415"</f>
        <v>132825196701222415</v>
      </c>
      <c r="P23" s="23" t="s">
        <v>119</v>
      </c>
      <c r="Q23" s="23">
        <v>45090</v>
      </c>
      <c r="R23" s="32">
        <v>45456</v>
      </c>
      <c r="V23" s="33">
        <v>100</v>
      </c>
      <c r="W23" s="28">
        <v>64.29</v>
      </c>
      <c r="X23" s="34" t="s">
        <v>54</v>
      </c>
      <c r="Y23" s="33">
        <v>64.29</v>
      </c>
      <c r="Z23" s="37"/>
      <c r="AA23" s="36"/>
      <c r="AC23" s="28">
        <v>64.29</v>
      </c>
      <c r="AD23" s="34" t="s">
        <v>54</v>
      </c>
      <c r="AE23" s="33">
        <v>64.29</v>
      </c>
      <c r="AN23" s="7" t="s">
        <v>54</v>
      </c>
      <c r="AO23" s="7" t="s">
        <v>55</v>
      </c>
      <c r="AP23" s="7" t="s">
        <v>56</v>
      </c>
      <c r="AT23" s="47" t="s">
        <v>57</v>
      </c>
      <c r="AU23" s="47" t="s">
        <v>57</v>
      </c>
    </row>
    <row r="24" spans="1:47">
      <c r="A24" s="4" t="s">
        <v>48</v>
      </c>
      <c r="C24" s="21"/>
      <c r="D24" s="22" t="s">
        <v>49</v>
      </c>
      <c r="G24" s="23">
        <v>45090</v>
      </c>
      <c r="H24" s="24" t="s">
        <v>120</v>
      </c>
      <c r="I24" s="29"/>
      <c r="J24" s="28" t="s">
        <v>51</v>
      </c>
      <c r="L24" s="24" t="s">
        <v>121</v>
      </c>
      <c r="M24" s="1" t="str">
        <f>"341221198609024255"</f>
        <v>341221198609024255</v>
      </c>
      <c r="N24" s="24" t="s">
        <v>121</v>
      </c>
      <c r="O24" s="1" t="str">
        <f>"341221198609024255"</f>
        <v>341221198609024255</v>
      </c>
      <c r="P24" s="23" t="s">
        <v>122</v>
      </c>
      <c r="Q24" s="23">
        <v>45138</v>
      </c>
      <c r="R24" s="32">
        <v>45504</v>
      </c>
      <c r="V24" s="33">
        <v>100</v>
      </c>
      <c r="W24" s="28">
        <v>64.29</v>
      </c>
      <c r="X24" s="34" t="s">
        <v>54</v>
      </c>
      <c r="Y24" s="33">
        <v>64.29</v>
      </c>
      <c r="Z24" s="37"/>
      <c r="AA24" s="36"/>
      <c r="AC24" s="28">
        <v>64.29</v>
      </c>
      <c r="AD24" s="34" t="s">
        <v>54</v>
      </c>
      <c r="AE24" s="33">
        <v>64.29</v>
      </c>
      <c r="AN24" s="7" t="s">
        <v>54</v>
      </c>
      <c r="AO24" s="7" t="s">
        <v>55</v>
      </c>
      <c r="AP24" s="7" t="s">
        <v>56</v>
      </c>
      <c r="AT24" s="47" t="s">
        <v>57</v>
      </c>
      <c r="AU24" s="47" t="s">
        <v>57</v>
      </c>
    </row>
    <row r="25" spans="1:47">
      <c r="A25" s="4" t="s">
        <v>48</v>
      </c>
      <c r="C25" s="21"/>
      <c r="D25" s="22" t="s">
        <v>49</v>
      </c>
      <c r="G25" s="23">
        <v>45077</v>
      </c>
      <c r="H25" s="24" t="s">
        <v>123</v>
      </c>
      <c r="I25" s="29"/>
      <c r="J25" s="28" t="s">
        <v>51</v>
      </c>
      <c r="L25" s="24" t="s">
        <v>124</v>
      </c>
      <c r="M25" s="1" t="str">
        <f>"34120219870324292X"</f>
        <v>34120219870324292X</v>
      </c>
      <c r="N25" s="24" t="s">
        <v>124</v>
      </c>
      <c r="O25" s="1" t="str">
        <f>"34120219870324292X"</f>
        <v>34120219870324292X</v>
      </c>
      <c r="P25" s="23" t="s">
        <v>125</v>
      </c>
      <c r="Q25" s="23">
        <v>45170</v>
      </c>
      <c r="R25" s="32">
        <v>45536</v>
      </c>
      <c r="V25" s="33">
        <v>100</v>
      </c>
      <c r="W25" s="28">
        <v>64.29</v>
      </c>
      <c r="X25" s="34" t="s">
        <v>54</v>
      </c>
      <c r="Y25" s="33">
        <v>64.29</v>
      </c>
      <c r="Z25" s="37"/>
      <c r="AA25" s="36"/>
      <c r="AC25" s="28">
        <v>64.29</v>
      </c>
      <c r="AD25" s="34" t="s">
        <v>54</v>
      </c>
      <c r="AE25" s="33">
        <v>64.29</v>
      </c>
      <c r="AN25" s="7" t="s">
        <v>54</v>
      </c>
      <c r="AO25" s="7" t="s">
        <v>55</v>
      </c>
      <c r="AP25" s="7" t="s">
        <v>56</v>
      </c>
      <c r="AT25" s="47" t="s">
        <v>57</v>
      </c>
      <c r="AU25" s="47" t="s">
        <v>57</v>
      </c>
    </row>
    <row r="26" spans="1:47">
      <c r="A26" s="4" t="s">
        <v>48</v>
      </c>
      <c r="C26" s="21"/>
      <c r="D26" s="22" t="s">
        <v>49</v>
      </c>
      <c r="G26" s="23">
        <v>45077</v>
      </c>
      <c r="H26" s="24" t="s">
        <v>126</v>
      </c>
      <c r="I26" s="29"/>
      <c r="J26" s="28" t="s">
        <v>51</v>
      </c>
      <c r="L26" s="24" t="s">
        <v>127</v>
      </c>
      <c r="M26" s="1" t="str">
        <f>"341202194812051921"</f>
        <v>341202194812051921</v>
      </c>
      <c r="N26" s="24" t="s">
        <v>127</v>
      </c>
      <c r="O26" s="1" t="str">
        <f>"341202194812051921"</f>
        <v>341202194812051921</v>
      </c>
      <c r="P26" s="23" t="s">
        <v>128</v>
      </c>
      <c r="Q26" s="23">
        <v>45078</v>
      </c>
      <c r="R26" s="32">
        <v>45444</v>
      </c>
      <c r="V26" s="33">
        <v>100</v>
      </c>
      <c r="W26" s="28">
        <v>64.29</v>
      </c>
      <c r="X26" s="34" t="s">
        <v>54</v>
      </c>
      <c r="Y26" s="33">
        <v>64.29</v>
      </c>
      <c r="Z26" s="37"/>
      <c r="AA26" s="36"/>
      <c r="AC26" s="28">
        <v>64.29</v>
      </c>
      <c r="AD26" s="34" t="s">
        <v>54</v>
      </c>
      <c r="AE26" s="33">
        <v>64.29</v>
      </c>
      <c r="AN26" s="7" t="s">
        <v>54</v>
      </c>
      <c r="AO26" s="7" t="s">
        <v>55</v>
      </c>
      <c r="AP26" s="7" t="s">
        <v>56</v>
      </c>
      <c r="AT26" s="47" t="s">
        <v>57</v>
      </c>
      <c r="AU26" s="47" t="s">
        <v>57</v>
      </c>
    </row>
    <row r="27" spans="1:47">
      <c r="A27" s="4" t="s">
        <v>48</v>
      </c>
      <c r="C27" s="21"/>
      <c r="D27" s="22" t="s">
        <v>49</v>
      </c>
      <c r="G27" s="23">
        <v>45077</v>
      </c>
      <c r="H27" s="24" t="s">
        <v>129</v>
      </c>
      <c r="I27" s="29"/>
      <c r="J27" s="28" t="s">
        <v>51</v>
      </c>
      <c r="L27" s="24" t="s">
        <v>130</v>
      </c>
      <c r="M27" s="1" t="str">
        <f>"341224197710251318"</f>
        <v>341224197710251318</v>
      </c>
      <c r="N27" s="24" t="s">
        <v>130</v>
      </c>
      <c r="O27" s="1" t="str">
        <f>"341224197710251318"</f>
        <v>341224197710251318</v>
      </c>
      <c r="P27" s="23" t="s">
        <v>131</v>
      </c>
      <c r="Q27" s="23">
        <v>45261</v>
      </c>
      <c r="R27" s="32">
        <v>45627</v>
      </c>
      <c r="V27" s="33">
        <v>100</v>
      </c>
      <c r="W27" s="28">
        <v>64.29</v>
      </c>
      <c r="X27" s="34" t="s">
        <v>54</v>
      </c>
      <c r="Y27" s="33">
        <v>64.29</v>
      </c>
      <c r="Z27" s="37"/>
      <c r="AA27" s="36"/>
      <c r="AC27" s="28">
        <v>64.29</v>
      </c>
      <c r="AD27" s="34" t="s">
        <v>54</v>
      </c>
      <c r="AE27" s="33">
        <v>64.29</v>
      </c>
      <c r="AN27" s="7" t="s">
        <v>54</v>
      </c>
      <c r="AO27" s="7" t="s">
        <v>55</v>
      </c>
      <c r="AP27" s="7" t="s">
        <v>56</v>
      </c>
      <c r="AT27" s="47" t="s">
        <v>57</v>
      </c>
      <c r="AU27" s="47" t="s">
        <v>57</v>
      </c>
    </row>
    <row r="28" spans="1:47">
      <c r="A28" s="4" t="s">
        <v>48</v>
      </c>
      <c r="C28" s="21"/>
      <c r="D28" s="22" t="s">
        <v>49</v>
      </c>
      <c r="G28" s="23">
        <v>45077</v>
      </c>
      <c r="H28" s="24" t="s">
        <v>132</v>
      </c>
      <c r="I28" s="29"/>
      <c r="J28" s="28" t="s">
        <v>51</v>
      </c>
      <c r="L28" s="24" t="s">
        <v>133</v>
      </c>
      <c r="M28" s="1" t="str">
        <f>"131082197110020261"</f>
        <v>131082197110020261</v>
      </c>
      <c r="N28" s="24" t="s">
        <v>133</v>
      </c>
      <c r="O28" s="1" t="str">
        <f>"131082197110020261"</f>
        <v>131082197110020261</v>
      </c>
      <c r="P28" s="23" t="s">
        <v>134</v>
      </c>
      <c r="Q28" s="23">
        <v>45170</v>
      </c>
      <c r="R28" s="32">
        <v>45536</v>
      </c>
      <c r="V28" s="33">
        <v>200</v>
      </c>
      <c r="W28" s="28">
        <v>64.29</v>
      </c>
      <c r="X28" s="34" t="s">
        <v>54</v>
      </c>
      <c r="Y28" s="33">
        <v>128.58</v>
      </c>
      <c r="Z28" s="37"/>
      <c r="AA28" s="36"/>
      <c r="AC28" s="28">
        <v>64.29</v>
      </c>
      <c r="AD28" s="34" t="s">
        <v>54</v>
      </c>
      <c r="AE28" s="33">
        <v>128.58</v>
      </c>
      <c r="AN28" s="7" t="s">
        <v>54</v>
      </c>
      <c r="AO28" s="7" t="s">
        <v>55</v>
      </c>
      <c r="AP28" s="7" t="s">
        <v>56</v>
      </c>
      <c r="AT28" s="47" t="s">
        <v>57</v>
      </c>
      <c r="AU28" s="47" t="s">
        <v>57</v>
      </c>
    </row>
    <row r="29" spans="1:47">
      <c r="A29" s="4" t="s">
        <v>48</v>
      </c>
      <c r="C29" s="21"/>
      <c r="D29" s="22" t="s">
        <v>49</v>
      </c>
      <c r="G29" s="23">
        <v>45075</v>
      </c>
      <c r="H29" s="24" t="s">
        <v>135</v>
      </c>
      <c r="I29" s="29"/>
      <c r="J29" s="28" t="s">
        <v>51</v>
      </c>
      <c r="L29" s="24" t="s">
        <v>136</v>
      </c>
      <c r="M29" s="1" t="str">
        <f>"342122198312074878"</f>
        <v>342122198312074878</v>
      </c>
      <c r="N29" s="24" t="s">
        <v>136</v>
      </c>
      <c r="O29" s="1" t="str">
        <f>"342122198312074878"</f>
        <v>342122198312074878</v>
      </c>
      <c r="P29" s="23" t="s">
        <v>137</v>
      </c>
      <c r="Q29" s="23">
        <v>45139</v>
      </c>
      <c r="R29" s="32">
        <v>45505</v>
      </c>
      <c r="V29" s="33">
        <v>200</v>
      </c>
      <c r="W29" s="28">
        <v>64.29</v>
      </c>
      <c r="X29" s="34" t="s">
        <v>54</v>
      </c>
      <c r="Y29" s="33">
        <v>128.58</v>
      </c>
      <c r="Z29" s="37"/>
      <c r="AA29" s="36"/>
      <c r="AC29" s="28">
        <v>64.29</v>
      </c>
      <c r="AD29" s="34" t="s">
        <v>54</v>
      </c>
      <c r="AE29" s="33">
        <v>128.58</v>
      </c>
      <c r="AN29" s="7" t="s">
        <v>54</v>
      </c>
      <c r="AO29" s="7" t="s">
        <v>55</v>
      </c>
      <c r="AP29" s="7" t="s">
        <v>56</v>
      </c>
      <c r="AT29" s="47" t="s">
        <v>57</v>
      </c>
      <c r="AU29" s="47" t="s">
        <v>57</v>
      </c>
    </row>
    <row r="30" spans="1:47">
      <c r="A30" s="4" t="s">
        <v>48</v>
      </c>
      <c r="C30" s="21"/>
      <c r="D30" s="22" t="s">
        <v>49</v>
      </c>
      <c r="G30" s="23">
        <v>45072</v>
      </c>
      <c r="H30" s="24" t="s">
        <v>138</v>
      </c>
      <c r="I30" s="29"/>
      <c r="J30" s="28" t="s">
        <v>51</v>
      </c>
      <c r="L30" s="24" t="s">
        <v>139</v>
      </c>
      <c r="M30" s="1" t="str">
        <f>"342101196410081026"</f>
        <v>342101196410081026</v>
      </c>
      <c r="N30" s="24" t="s">
        <v>139</v>
      </c>
      <c r="O30" s="1" t="str">
        <f>"342101196410081026"</f>
        <v>342101196410081026</v>
      </c>
      <c r="P30" s="23" t="s">
        <v>140</v>
      </c>
      <c r="Q30" s="23">
        <v>45083</v>
      </c>
      <c r="R30" s="32">
        <v>45449</v>
      </c>
      <c r="V30" s="33">
        <v>200</v>
      </c>
      <c r="W30" s="28">
        <v>64.29</v>
      </c>
      <c r="X30" s="34" t="s">
        <v>54</v>
      </c>
      <c r="Y30" s="33">
        <v>128.58</v>
      </c>
      <c r="Z30" s="37"/>
      <c r="AA30" s="36"/>
      <c r="AC30" s="28">
        <v>64.29</v>
      </c>
      <c r="AD30" s="34" t="s">
        <v>54</v>
      </c>
      <c r="AE30" s="33">
        <v>128.58</v>
      </c>
      <c r="AN30" s="7" t="s">
        <v>54</v>
      </c>
      <c r="AO30" s="7" t="s">
        <v>55</v>
      </c>
      <c r="AP30" s="7" t="s">
        <v>56</v>
      </c>
      <c r="AT30" s="47" t="s">
        <v>57</v>
      </c>
      <c r="AU30" s="47" t="s">
        <v>57</v>
      </c>
    </row>
    <row r="31" spans="1:47">
      <c r="A31" s="4" t="s">
        <v>48</v>
      </c>
      <c r="C31" s="21"/>
      <c r="D31" s="22" t="s">
        <v>49</v>
      </c>
      <c r="G31" s="23">
        <v>45093</v>
      </c>
      <c r="H31" s="24" t="s">
        <v>141</v>
      </c>
      <c r="I31" s="29"/>
      <c r="J31" s="28" t="s">
        <v>51</v>
      </c>
      <c r="L31" s="24" t="s">
        <v>142</v>
      </c>
      <c r="M31" s="1" t="str">
        <f>"132825196904132460"</f>
        <v>132825196904132460</v>
      </c>
      <c r="N31" s="24" t="s">
        <v>142</v>
      </c>
      <c r="O31" s="1" t="str">
        <f>"132825196904132460"</f>
        <v>132825196904132460</v>
      </c>
      <c r="P31" s="23" t="s">
        <v>119</v>
      </c>
      <c r="Q31" s="23">
        <v>45094</v>
      </c>
      <c r="R31" s="32">
        <v>45460</v>
      </c>
      <c r="V31" s="33">
        <v>300</v>
      </c>
      <c r="W31" s="28">
        <v>64.29</v>
      </c>
      <c r="X31" s="34" t="s">
        <v>54</v>
      </c>
      <c r="Y31" s="33">
        <v>192.87</v>
      </c>
      <c r="Z31" s="37"/>
      <c r="AA31" s="36"/>
      <c r="AC31" s="28">
        <v>64.29</v>
      </c>
      <c r="AD31" s="34" t="s">
        <v>54</v>
      </c>
      <c r="AE31" s="33">
        <v>192.87</v>
      </c>
      <c r="AN31" s="7" t="s">
        <v>54</v>
      </c>
      <c r="AO31" s="7" t="s">
        <v>55</v>
      </c>
      <c r="AP31" s="7" t="s">
        <v>56</v>
      </c>
      <c r="AT31" s="47" t="s">
        <v>57</v>
      </c>
      <c r="AU31" s="47" t="s">
        <v>57</v>
      </c>
    </row>
    <row r="32" spans="1:47">
      <c r="A32" s="4" t="s">
        <v>48</v>
      </c>
      <c r="C32" s="21"/>
      <c r="D32" s="22" t="s">
        <v>49</v>
      </c>
      <c r="G32" s="23">
        <v>45093</v>
      </c>
      <c r="H32" s="24" t="s">
        <v>143</v>
      </c>
      <c r="I32" s="29"/>
      <c r="J32" s="28" t="s">
        <v>51</v>
      </c>
      <c r="L32" s="24" t="s">
        <v>144</v>
      </c>
      <c r="M32" s="1" t="str">
        <f>"132821194712080278"</f>
        <v>132821194712080278</v>
      </c>
      <c r="N32" s="24" t="s">
        <v>144</v>
      </c>
      <c r="O32" s="1" t="str">
        <f>"132821194712080278"</f>
        <v>132821194712080278</v>
      </c>
      <c r="P32" s="23" t="s">
        <v>145</v>
      </c>
      <c r="Q32" s="23">
        <v>45094</v>
      </c>
      <c r="R32" s="32">
        <v>45460</v>
      </c>
      <c r="V32" s="33">
        <v>300</v>
      </c>
      <c r="W32" s="28">
        <v>64.29</v>
      </c>
      <c r="X32" s="34" t="s">
        <v>54</v>
      </c>
      <c r="Y32" s="33">
        <v>192.87</v>
      </c>
      <c r="Z32" s="37"/>
      <c r="AA32" s="36"/>
      <c r="AC32" s="28">
        <v>64.29</v>
      </c>
      <c r="AD32" s="34" t="s">
        <v>54</v>
      </c>
      <c r="AE32" s="33">
        <v>192.87</v>
      </c>
      <c r="AN32" s="7" t="s">
        <v>54</v>
      </c>
      <c r="AO32" s="7" t="s">
        <v>55</v>
      </c>
      <c r="AP32" s="7" t="s">
        <v>56</v>
      </c>
      <c r="AT32" s="47" t="s">
        <v>57</v>
      </c>
      <c r="AU32" s="47" t="s">
        <v>57</v>
      </c>
    </row>
    <row r="33" spans="1:47">
      <c r="A33" s="4" t="s">
        <v>48</v>
      </c>
      <c r="C33" s="21"/>
      <c r="D33" s="22" t="s">
        <v>49</v>
      </c>
      <c r="G33" s="23">
        <v>45096</v>
      </c>
      <c r="H33" s="24" t="s">
        <v>146</v>
      </c>
      <c r="I33" s="29"/>
      <c r="J33" s="28" t="s">
        <v>51</v>
      </c>
      <c r="L33" s="24" t="s">
        <v>147</v>
      </c>
      <c r="M33" s="1" t="str">
        <f>"342121196604197313"</f>
        <v>342121196604197313</v>
      </c>
      <c r="N33" s="24" t="s">
        <v>147</v>
      </c>
      <c r="O33" s="1" t="str">
        <f>"342121196604197313"</f>
        <v>342121196604197313</v>
      </c>
      <c r="P33" s="23" t="s">
        <v>148</v>
      </c>
      <c r="Q33" s="23">
        <v>45097</v>
      </c>
      <c r="R33" s="32">
        <v>45463</v>
      </c>
      <c r="V33" s="33">
        <v>50</v>
      </c>
      <c r="W33" s="28">
        <v>64.29</v>
      </c>
      <c r="X33" s="34" t="s">
        <v>54</v>
      </c>
      <c r="Y33" s="33">
        <v>32.15</v>
      </c>
      <c r="Z33" s="37"/>
      <c r="AA33" s="36"/>
      <c r="AC33" s="28">
        <v>64.29</v>
      </c>
      <c r="AD33" s="34" t="s">
        <v>54</v>
      </c>
      <c r="AE33" s="33">
        <v>32.15</v>
      </c>
      <c r="AN33" s="7" t="s">
        <v>54</v>
      </c>
      <c r="AO33" s="7" t="s">
        <v>55</v>
      </c>
      <c r="AP33" s="7" t="s">
        <v>56</v>
      </c>
      <c r="AT33" s="47" t="s">
        <v>57</v>
      </c>
      <c r="AU33" s="47" t="s">
        <v>57</v>
      </c>
    </row>
    <row r="34" spans="1:47">
      <c r="A34" s="4" t="s">
        <v>48</v>
      </c>
      <c r="C34" s="21"/>
      <c r="D34" s="22" t="s">
        <v>49</v>
      </c>
      <c r="G34" s="23">
        <v>45094</v>
      </c>
      <c r="H34" s="24" t="s">
        <v>149</v>
      </c>
      <c r="I34" s="29"/>
      <c r="J34" s="28" t="s">
        <v>51</v>
      </c>
      <c r="L34" s="24" t="s">
        <v>150</v>
      </c>
      <c r="M34" s="1" t="str">
        <f>"110102195612072758"</f>
        <v>110102195612072758</v>
      </c>
      <c r="N34" s="24" t="s">
        <v>150</v>
      </c>
      <c r="O34" s="1" t="str">
        <f>"110102195612072758"</f>
        <v>110102195612072758</v>
      </c>
      <c r="P34" s="23" t="s">
        <v>151</v>
      </c>
      <c r="Q34" s="23">
        <v>45095</v>
      </c>
      <c r="R34" s="32">
        <v>45461</v>
      </c>
      <c r="V34" s="33">
        <v>50</v>
      </c>
      <c r="W34" s="28">
        <v>64.29</v>
      </c>
      <c r="X34" s="34" t="s">
        <v>54</v>
      </c>
      <c r="Y34" s="33">
        <v>32.15</v>
      </c>
      <c r="Z34" s="37"/>
      <c r="AA34" s="36"/>
      <c r="AC34" s="28">
        <v>64.29</v>
      </c>
      <c r="AD34" s="34" t="s">
        <v>54</v>
      </c>
      <c r="AE34" s="33">
        <v>32.15</v>
      </c>
      <c r="AN34" s="7" t="s">
        <v>54</v>
      </c>
      <c r="AO34" s="7" t="s">
        <v>55</v>
      </c>
      <c r="AP34" s="7" t="s">
        <v>56</v>
      </c>
      <c r="AT34" s="47" t="s">
        <v>57</v>
      </c>
      <c r="AU34" s="47" t="s">
        <v>57</v>
      </c>
    </row>
    <row r="35" spans="1:47">
      <c r="A35" s="4" t="s">
        <v>48</v>
      </c>
      <c r="C35" s="21"/>
      <c r="D35" s="22" t="s">
        <v>49</v>
      </c>
      <c r="G35" s="23">
        <v>45102</v>
      </c>
      <c r="H35" s="24" t="s">
        <v>152</v>
      </c>
      <c r="I35" s="29"/>
      <c r="J35" s="28" t="s">
        <v>51</v>
      </c>
      <c r="L35" s="24" t="s">
        <v>153</v>
      </c>
      <c r="M35" s="1" t="str">
        <f>"132825194601292425"</f>
        <v>132825194601292425</v>
      </c>
      <c r="N35" s="24" t="s">
        <v>153</v>
      </c>
      <c r="O35" s="1" t="str">
        <f>"132825194601292425"</f>
        <v>132825194601292425</v>
      </c>
      <c r="P35" s="23" t="s">
        <v>154</v>
      </c>
      <c r="Q35" s="23">
        <v>45103</v>
      </c>
      <c r="R35" s="32">
        <v>45469</v>
      </c>
      <c r="V35" s="33">
        <v>100</v>
      </c>
      <c r="W35" s="28">
        <v>64.29</v>
      </c>
      <c r="X35" s="34" t="s">
        <v>54</v>
      </c>
      <c r="Y35" s="33">
        <v>64.29</v>
      </c>
      <c r="Z35" s="37"/>
      <c r="AA35" s="36"/>
      <c r="AC35" s="28">
        <v>64.29</v>
      </c>
      <c r="AD35" s="34" t="s">
        <v>54</v>
      </c>
      <c r="AE35" s="33">
        <v>64.29</v>
      </c>
      <c r="AN35" s="7" t="s">
        <v>54</v>
      </c>
      <c r="AO35" s="7" t="s">
        <v>55</v>
      </c>
      <c r="AP35" s="7" t="s">
        <v>56</v>
      </c>
      <c r="AT35" s="47" t="s">
        <v>57</v>
      </c>
      <c r="AU35" s="47" t="s">
        <v>57</v>
      </c>
    </row>
    <row r="36" spans="1:47">
      <c r="A36" s="4" t="s">
        <v>48</v>
      </c>
      <c r="C36" s="21"/>
      <c r="D36" s="22" t="s">
        <v>49</v>
      </c>
      <c r="G36" s="23">
        <v>45102</v>
      </c>
      <c r="H36" s="24" t="s">
        <v>155</v>
      </c>
      <c r="I36" s="29"/>
      <c r="J36" s="28" t="s">
        <v>51</v>
      </c>
      <c r="L36" s="24" t="s">
        <v>156</v>
      </c>
      <c r="M36" s="1" t="str">
        <f>"110108195701166316"</f>
        <v>110108195701166316</v>
      </c>
      <c r="N36" s="24" t="s">
        <v>156</v>
      </c>
      <c r="O36" s="1" t="str">
        <f>"110108195701166316"</f>
        <v>110108195701166316</v>
      </c>
      <c r="P36" s="23" t="s">
        <v>157</v>
      </c>
      <c r="Q36" s="23">
        <v>45103</v>
      </c>
      <c r="R36" s="32">
        <v>45469</v>
      </c>
      <c r="V36" s="33">
        <v>100</v>
      </c>
      <c r="W36" s="28">
        <v>64.29</v>
      </c>
      <c r="X36" s="34" t="s">
        <v>54</v>
      </c>
      <c r="Y36" s="33">
        <v>64.29</v>
      </c>
      <c r="Z36" s="37"/>
      <c r="AA36" s="36"/>
      <c r="AC36" s="28">
        <v>64.29</v>
      </c>
      <c r="AD36" s="34" t="s">
        <v>54</v>
      </c>
      <c r="AE36" s="33">
        <v>64.29</v>
      </c>
      <c r="AN36" s="7" t="s">
        <v>54</v>
      </c>
      <c r="AO36" s="7" t="s">
        <v>55</v>
      </c>
      <c r="AP36" s="7" t="s">
        <v>56</v>
      </c>
      <c r="AT36" s="47" t="s">
        <v>57</v>
      </c>
      <c r="AU36" s="47" t="s">
        <v>57</v>
      </c>
    </row>
    <row r="37" spans="1:47">
      <c r="A37" s="4" t="s">
        <v>48</v>
      </c>
      <c r="C37" s="21"/>
      <c r="D37" s="22" t="s">
        <v>49</v>
      </c>
      <c r="G37" s="23">
        <v>45102</v>
      </c>
      <c r="H37" s="24" t="s">
        <v>158</v>
      </c>
      <c r="I37" s="29"/>
      <c r="J37" s="28" t="s">
        <v>51</v>
      </c>
      <c r="L37" s="24" t="s">
        <v>159</v>
      </c>
      <c r="M37" s="1" t="str">
        <f>"130731199607234413"</f>
        <v>130731199607234413</v>
      </c>
      <c r="N37" s="24" t="s">
        <v>159</v>
      </c>
      <c r="O37" s="1" t="str">
        <f>"130731199607234413"</f>
        <v>130731199607234413</v>
      </c>
      <c r="P37" s="23" t="s">
        <v>160</v>
      </c>
      <c r="Q37" s="23">
        <v>45103</v>
      </c>
      <c r="R37" s="32">
        <v>45469</v>
      </c>
      <c r="V37" s="33">
        <v>100</v>
      </c>
      <c r="W37" s="28">
        <v>64.29</v>
      </c>
      <c r="X37" s="34" t="s">
        <v>54</v>
      </c>
      <c r="Y37" s="33">
        <v>64.29</v>
      </c>
      <c r="Z37" s="37"/>
      <c r="AA37" s="36"/>
      <c r="AC37" s="28">
        <v>64.29</v>
      </c>
      <c r="AD37" s="34" t="s">
        <v>54</v>
      </c>
      <c r="AE37" s="33">
        <v>64.29</v>
      </c>
      <c r="AN37" s="7" t="s">
        <v>54</v>
      </c>
      <c r="AO37" s="7" t="s">
        <v>55</v>
      </c>
      <c r="AP37" s="7" t="s">
        <v>56</v>
      </c>
      <c r="AT37" s="47" t="s">
        <v>57</v>
      </c>
      <c r="AU37" s="47" t="s">
        <v>57</v>
      </c>
    </row>
    <row r="38" spans="1:47">
      <c r="A38" s="4" t="s">
        <v>48</v>
      </c>
      <c r="C38" s="21"/>
      <c r="D38" s="22" t="s">
        <v>49</v>
      </c>
      <c r="G38" s="23">
        <v>45102</v>
      </c>
      <c r="H38" s="24" t="s">
        <v>161</v>
      </c>
      <c r="I38" s="29"/>
      <c r="J38" s="28" t="s">
        <v>51</v>
      </c>
      <c r="L38" s="24" t="s">
        <v>162</v>
      </c>
      <c r="M38" s="1" t="str">
        <f>"132323197412010322"</f>
        <v>132323197412010322</v>
      </c>
      <c r="N38" s="24" t="s">
        <v>162</v>
      </c>
      <c r="O38" s="1" t="str">
        <f>"132323197412010322"</f>
        <v>132323197412010322</v>
      </c>
      <c r="P38" s="23" t="s">
        <v>163</v>
      </c>
      <c r="Q38" s="23">
        <v>45103</v>
      </c>
      <c r="R38" s="32">
        <v>45469</v>
      </c>
      <c r="V38" s="33">
        <v>100</v>
      </c>
      <c r="W38" s="28">
        <v>64.29</v>
      </c>
      <c r="X38" s="34" t="s">
        <v>54</v>
      </c>
      <c r="Y38" s="33">
        <v>64.29</v>
      </c>
      <c r="Z38" s="37"/>
      <c r="AA38" s="36"/>
      <c r="AC38" s="28">
        <v>64.29</v>
      </c>
      <c r="AD38" s="34" t="s">
        <v>54</v>
      </c>
      <c r="AE38" s="33">
        <v>64.29</v>
      </c>
      <c r="AN38" s="7" t="s">
        <v>54</v>
      </c>
      <c r="AO38" s="7" t="s">
        <v>55</v>
      </c>
      <c r="AP38" s="7" t="s">
        <v>56</v>
      </c>
      <c r="AT38" s="47" t="s">
        <v>57</v>
      </c>
      <c r="AU38" s="47" t="s">
        <v>57</v>
      </c>
    </row>
    <row r="39" spans="1:47">
      <c r="A39" s="4" t="s">
        <v>48</v>
      </c>
      <c r="C39" s="21"/>
      <c r="D39" s="22" t="s">
        <v>49</v>
      </c>
      <c r="G39" s="23">
        <v>45089</v>
      </c>
      <c r="H39" s="24" t="s">
        <v>164</v>
      </c>
      <c r="I39" s="29"/>
      <c r="J39" s="28" t="s">
        <v>51</v>
      </c>
      <c r="L39" s="24" t="s">
        <v>165</v>
      </c>
      <c r="M39" s="1" t="str">
        <f>"131082197905034106"</f>
        <v>131082197905034106</v>
      </c>
      <c r="N39" s="24" t="s">
        <v>165</v>
      </c>
      <c r="O39" s="1" t="str">
        <f>"131082197905034106"</f>
        <v>131082197905034106</v>
      </c>
      <c r="P39" s="23" t="s">
        <v>166</v>
      </c>
      <c r="Q39" s="23">
        <v>45200</v>
      </c>
      <c r="R39" s="32">
        <v>45566</v>
      </c>
      <c r="V39" s="33">
        <v>100</v>
      </c>
      <c r="W39" s="28">
        <v>64.29</v>
      </c>
      <c r="X39" s="34" t="s">
        <v>54</v>
      </c>
      <c r="Y39" s="33">
        <v>64.29</v>
      </c>
      <c r="Z39" s="37"/>
      <c r="AA39" s="36"/>
      <c r="AC39" s="28">
        <v>64.29</v>
      </c>
      <c r="AD39" s="34" t="s">
        <v>54</v>
      </c>
      <c r="AE39" s="33">
        <v>64.29</v>
      </c>
      <c r="AN39" s="7" t="s">
        <v>54</v>
      </c>
      <c r="AO39" s="7" t="s">
        <v>55</v>
      </c>
      <c r="AP39" s="7" t="s">
        <v>56</v>
      </c>
      <c r="AT39" s="47" t="s">
        <v>57</v>
      </c>
      <c r="AU39" s="47" t="s">
        <v>57</v>
      </c>
    </row>
    <row r="40" spans="1:47">
      <c r="A40" s="4" t="s">
        <v>48</v>
      </c>
      <c r="C40" s="21"/>
      <c r="D40" s="22" t="s">
        <v>49</v>
      </c>
      <c r="G40" s="23">
        <v>45090</v>
      </c>
      <c r="H40" s="24" t="s">
        <v>167</v>
      </c>
      <c r="I40" s="29"/>
      <c r="J40" s="28" t="s">
        <v>51</v>
      </c>
      <c r="L40" s="24" t="s">
        <v>168</v>
      </c>
      <c r="M40" s="1" t="str">
        <f>"232126199312282719"</f>
        <v>232126199312282719</v>
      </c>
      <c r="N40" s="24" t="s">
        <v>168</v>
      </c>
      <c r="O40" s="1" t="str">
        <f>"232126199312282719"</f>
        <v>232126199312282719</v>
      </c>
      <c r="P40" s="23" t="s">
        <v>169</v>
      </c>
      <c r="Q40" s="23">
        <v>45213</v>
      </c>
      <c r="R40" s="32">
        <v>45579</v>
      </c>
      <c r="V40" s="33">
        <v>100</v>
      </c>
      <c r="W40" s="28">
        <v>64.29</v>
      </c>
      <c r="X40" s="34" t="s">
        <v>54</v>
      </c>
      <c r="Y40" s="33">
        <v>64.29</v>
      </c>
      <c r="Z40" s="37"/>
      <c r="AA40" s="36"/>
      <c r="AC40" s="28">
        <v>64.29</v>
      </c>
      <c r="AD40" s="34" t="s">
        <v>54</v>
      </c>
      <c r="AE40" s="33">
        <v>64.29</v>
      </c>
      <c r="AN40" s="7" t="s">
        <v>54</v>
      </c>
      <c r="AO40" s="7" t="s">
        <v>55</v>
      </c>
      <c r="AP40" s="7" t="s">
        <v>56</v>
      </c>
      <c r="AT40" s="47" t="s">
        <v>57</v>
      </c>
      <c r="AU40" s="47" t="s">
        <v>57</v>
      </c>
    </row>
    <row r="41" spans="1:47">
      <c r="A41" s="4" t="s">
        <v>48</v>
      </c>
      <c r="C41" s="21"/>
      <c r="D41" s="22" t="s">
        <v>49</v>
      </c>
      <c r="G41" s="23">
        <v>45089</v>
      </c>
      <c r="H41" s="24" t="s">
        <v>170</v>
      </c>
      <c r="I41" s="29"/>
      <c r="J41" s="28" t="s">
        <v>51</v>
      </c>
      <c r="L41" s="24" t="s">
        <v>171</v>
      </c>
      <c r="M41" s="1" t="str">
        <f>"341221198911121398"</f>
        <v>341221198911121398</v>
      </c>
      <c r="N41" s="24" t="s">
        <v>171</v>
      </c>
      <c r="O41" s="1" t="str">
        <f>"341221198911121398"</f>
        <v>341221198911121398</v>
      </c>
      <c r="P41" s="23" t="s">
        <v>172</v>
      </c>
      <c r="Q41" s="23">
        <v>45212</v>
      </c>
      <c r="R41" s="32">
        <v>45578</v>
      </c>
      <c r="V41" s="33">
        <v>100</v>
      </c>
      <c r="W41" s="28">
        <v>64.29</v>
      </c>
      <c r="X41" s="34" t="s">
        <v>54</v>
      </c>
      <c r="Y41" s="33">
        <v>64.29</v>
      </c>
      <c r="Z41" s="37"/>
      <c r="AA41" s="36"/>
      <c r="AC41" s="28">
        <v>64.29</v>
      </c>
      <c r="AD41" s="34" t="s">
        <v>54</v>
      </c>
      <c r="AE41" s="33">
        <v>64.29</v>
      </c>
      <c r="AN41" s="7" t="s">
        <v>54</v>
      </c>
      <c r="AO41" s="7" t="s">
        <v>55</v>
      </c>
      <c r="AP41" s="7" t="s">
        <v>56</v>
      </c>
      <c r="AT41" s="47" t="s">
        <v>57</v>
      </c>
      <c r="AU41" s="47" t="s">
        <v>57</v>
      </c>
    </row>
    <row r="42" spans="1:47">
      <c r="A42" s="4" t="s">
        <v>48</v>
      </c>
      <c r="C42" s="21"/>
      <c r="D42" s="22" t="s">
        <v>49</v>
      </c>
      <c r="G42" s="23">
        <v>45078</v>
      </c>
      <c r="H42" s="24" t="s">
        <v>173</v>
      </c>
      <c r="I42" s="29"/>
      <c r="J42" s="28" t="s">
        <v>51</v>
      </c>
      <c r="L42" s="24" t="s">
        <v>174</v>
      </c>
      <c r="M42" s="1" t="str">
        <f>"131082199005172924"</f>
        <v>131082199005172924</v>
      </c>
      <c r="N42" s="24" t="s">
        <v>174</v>
      </c>
      <c r="O42" s="1" t="str">
        <f>"131082199005172924"</f>
        <v>131082199005172924</v>
      </c>
      <c r="P42" s="23" t="s">
        <v>175</v>
      </c>
      <c r="Q42" s="23">
        <v>45168</v>
      </c>
      <c r="R42" s="32">
        <v>45534</v>
      </c>
      <c r="V42" s="33">
        <v>100</v>
      </c>
      <c r="W42" s="28">
        <v>64.29</v>
      </c>
      <c r="X42" s="34" t="s">
        <v>54</v>
      </c>
      <c r="Y42" s="33">
        <v>64.29</v>
      </c>
      <c r="Z42" s="37"/>
      <c r="AA42" s="36"/>
      <c r="AC42" s="28">
        <v>64.29</v>
      </c>
      <c r="AD42" s="34" t="s">
        <v>54</v>
      </c>
      <c r="AE42" s="33">
        <v>64.29</v>
      </c>
      <c r="AN42" s="7" t="s">
        <v>54</v>
      </c>
      <c r="AO42" s="7" t="s">
        <v>55</v>
      </c>
      <c r="AP42" s="7" t="s">
        <v>56</v>
      </c>
      <c r="AT42" s="47" t="s">
        <v>57</v>
      </c>
      <c r="AU42" s="47" t="s">
        <v>57</v>
      </c>
    </row>
    <row r="43" spans="1:47">
      <c r="A43" s="4" t="s">
        <v>48</v>
      </c>
      <c r="C43" s="21"/>
      <c r="D43" s="22" t="s">
        <v>49</v>
      </c>
      <c r="G43" s="23">
        <v>45077</v>
      </c>
      <c r="H43" s="24" t="s">
        <v>176</v>
      </c>
      <c r="I43" s="29"/>
      <c r="J43" s="28" t="s">
        <v>51</v>
      </c>
      <c r="L43" s="24" t="s">
        <v>177</v>
      </c>
      <c r="M43" s="1" t="str">
        <f>"34122119810403022X"</f>
        <v>34122119810403022X</v>
      </c>
      <c r="N43" s="24" t="s">
        <v>177</v>
      </c>
      <c r="O43" s="1" t="str">
        <f>"34122119810403022X"</f>
        <v>34122119810403022X</v>
      </c>
      <c r="P43" s="23" t="s">
        <v>178</v>
      </c>
      <c r="Q43" s="23">
        <v>45200</v>
      </c>
      <c r="R43" s="32">
        <v>45566</v>
      </c>
      <c r="V43" s="33">
        <v>100</v>
      </c>
      <c r="W43" s="28">
        <v>64.29</v>
      </c>
      <c r="X43" s="34" t="s">
        <v>54</v>
      </c>
      <c r="Y43" s="33">
        <v>64.29</v>
      </c>
      <c r="Z43" s="37"/>
      <c r="AA43" s="36"/>
      <c r="AC43" s="28">
        <v>64.29</v>
      </c>
      <c r="AD43" s="34" t="s">
        <v>54</v>
      </c>
      <c r="AE43" s="33">
        <v>64.29</v>
      </c>
      <c r="AN43" s="7" t="s">
        <v>54</v>
      </c>
      <c r="AO43" s="7" t="s">
        <v>55</v>
      </c>
      <c r="AP43" s="7" t="s">
        <v>56</v>
      </c>
      <c r="AT43" s="47" t="s">
        <v>57</v>
      </c>
      <c r="AU43" s="47" t="s">
        <v>57</v>
      </c>
    </row>
    <row r="44" spans="1:47">
      <c r="A44" s="4" t="s">
        <v>48</v>
      </c>
      <c r="C44" s="21"/>
      <c r="D44" s="22" t="s">
        <v>49</v>
      </c>
      <c r="G44" s="23">
        <v>45076</v>
      </c>
      <c r="H44" s="24" t="s">
        <v>179</v>
      </c>
      <c r="I44" s="29"/>
      <c r="J44" s="28" t="s">
        <v>51</v>
      </c>
      <c r="L44" s="24" t="s">
        <v>180</v>
      </c>
      <c r="M44" s="1" t="str">
        <f>"342122198006129092"</f>
        <v>342122198006129092</v>
      </c>
      <c r="N44" s="24" t="s">
        <v>180</v>
      </c>
      <c r="O44" s="1" t="str">
        <f>"342122198006129092"</f>
        <v>342122198006129092</v>
      </c>
      <c r="P44" s="23" t="s">
        <v>181</v>
      </c>
      <c r="Q44" s="23">
        <v>45092</v>
      </c>
      <c r="R44" s="32">
        <v>45458</v>
      </c>
      <c r="V44" s="33">
        <v>100</v>
      </c>
      <c r="W44" s="28">
        <v>64.29</v>
      </c>
      <c r="X44" s="34" t="s">
        <v>54</v>
      </c>
      <c r="Y44" s="33">
        <v>64.29</v>
      </c>
      <c r="Z44" s="37"/>
      <c r="AA44" s="36"/>
      <c r="AC44" s="28">
        <v>64.29</v>
      </c>
      <c r="AD44" s="34" t="s">
        <v>54</v>
      </c>
      <c r="AE44" s="33">
        <v>64.29</v>
      </c>
      <c r="AN44" s="7" t="s">
        <v>54</v>
      </c>
      <c r="AO44" s="7" t="s">
        <v>55</v>
      </c>
      <c r="AP44" s="7" t="s">
        <v>56</v>
      </c>
      <c r="AT44" s="47" t="s">
        <v>57</v>
      </c>
      <c r="AU44" s="47" t="s">
        <v>57</v>
      </c>
    </row>
    <row r="45" spans="1:47">
      <c r="A45" s="4" t="s">
        <v>48</v>
      </c>
      <c r="C45" s="21"/>
      <c r="D45" s="22" t="s">
        <v>49</v>
      </c>
      <c r="G45" s="23">
        <v>45079</v>
      </c>
      <c r="H45" s="24" t="s">
        <v>182</v>
      </c>
      <c r="I45" s="29"/>
      <c r="J45" s="28" t="s">
        <v>51</v>
      </c>
      <c r="L45" s="24" t="s">
        <v>183</v>
      </c>
      <c r="M45" s="1" t="str">
        <f>"342127198211134917"</f>
        <v>342127198211134917</v>
      </c>
      <c r="N45" s="24" t="s">
        <v>183</v>
      </c>
      <c r="O45" s="1" t="str">
        <f>"342127198211134917"</f>
        <v>342127198211134917</v>
      </c>
      <c r="P45" s="23" t="s">
        <v>184</v>
      </c>
      <c r="Q45" s="23">
        <v>45080</v>
      </c>
      <c r="R45" s="32">
        <v>45446</v>
      </c>
      <c r="V45" s="33">
        <v>100</v>
      </c>
      <c r="W45" s="28">
        <v>64.29</v>
      </c>
      <c r="X45" s="34" t="s">
        <v>54</v>
      </c>
      <c r="Y45" s="33">
        <v>64.29</v>
      </c>
      <c r="Z45" s="37"/>
      <c r="AA45" s="36"/>
      <c r="AC45" s="28">
        <v>64.29</v>
      </c>
      <c r="AD45" s="34" t="s">
        <v>54</v>
      </c>
      <c r="AE45" s="33">
        <v>64.29</v>
      </c>
      <c r="AN45" s="7" t="s">
        <v>54</v>
      </c>
      <c r="AO45" s="7" t="s">
        <v>55</v>
      </c>
      <c r="AP45" s="7" t="s">
        <v>56</v>
      </c>
      <c r="AT45" s="47" t="s">
        <v>57</v>
      </c>
      <c r="AU45" s="47" t="s">
        <v>57</v>
      </c>
    </row>
    <row r="46" spans="1:47">
      <c r="A46" s="4" t="s">
        <v>48</v>
      </c>
      <c r="C46" s="21"/>
      <c r="D46" s="22" t="s">
        <v>49</v>
      </c>
      <c r="G46" s="23">
        <v>45086</v>
      </c>
      <c r="H46" s="24" t="s">
        <v>185</v>
      </c>
      <c r="I46" s="29"/>
      <c r="J46" s="28" t="s">
        <v>51</v>
      </c>
      <c r="L46" s="24" t="s">
        <v>186</v>
      </c>
      <c r="M46" s="1" t="str">
        <f>"110102198907063326"</f>
        <v>110102198907063326</v>
      </c>
      <c r="N46" s="24" t="s">
        <v>186</v>
      </c>
      <c r="O46" s="1" t="str">
        <f>"110102198907063326"</f>
        <v>110102198907063326</v>
      </c>
      <c r="P46" s="23" t="s">
        <v>187</v>
      </c>
      <c r="Q46" s="23">
        <v>45087</v>
      </c>
      <c r="R46" s="32">
        <v>45453</v>
      </c>
      <c r="V46" s="33">
        <v>300</v>
      </c>
      <c r="W46" s="28">
        <v>64.29</v>
      </c>
      <c r="X46" s="34" t="s">
        <v>54</v>
      </c>
      <c r="Y46" s="33">
        <v>192.87</v>
      </c>
      <c r="Z46" s="37"/>
      <c r="AA46" s="36"/>
      <c r="AC46" s="28">
        <v>64.29</v>
      </c>
      <c r="AD46" s="34" t="s">
        <v>54</v>
      </c>
      <c r="AE46" s="33">
        <v>192.87</v>
      </c>
      <c r="AN46" s="7" t="s">
        <v>54</v>
      </c>
      <c r="AO46" s="7" t="s">
        <v>55</v>
      </c>
      <c r="AP46" s="7" t="s">
        <v>56</v>
      </c>
      <c r="AT46" s="47" t="s">
        <v>57</v>
      </c>
      <c r="AU46" s="47" t="s">
        <v>57</v>
      </c>
    </row>
    <row r="47" spans="1:47">
      <c r="A47" s="4" t="s">
        <v>48</v>
      </c>
      <c r="C47" s="21"/>
      <c r="D47" s="22" t="s">
        <v>49</v>
      </c>
      <c r="G47" s="23">
        <v>45091</v>
      </c>
      <c r="H47" s="24" t="s">
        <v>188</v>
      </c>
      <c r="I47" s="29"/>
      <c r="J47" s="28" t="s">
        <v>51</v>
      </c>
      <c r="L47" s="24" t="s">
        <v>189</v>
      </c>
      <c r="M47" s="1" t="str">
        <f>"34122119920128041X"</f>
        <v>34122119920128041X</v>
      </c>
      <c r="N47" s="24" t="s">
        <v>189</v>
      </c>
      <c r="O47" s="1" t="str">
        <f>"34122119920128041X"</f>
        <v>34122119920128041X</v>
      </c>
      <c r="P47" s="23" t="s">
        <v>190</v>
      </c>
      <c r="Q47" s="23">
        <v>45092</v>
      </c>
      <c r="R47" s="32">
        <v>45458</v>
      </c>
      <c r="V47" s="33">
        <v>50</v>
      </c>
      <c r="W47" s="28">
        <v>64.29</v>
      </c>
      <c r="X47" s="34" t="s">
        <v>54</v>
      </c>
      <c r="Y47" s="33">
        <v>32.15</v>
      </c>
      <c r="Z47" s="37"/>
      <c r="AA47" s="36"/>
      <c r="AC47" s="28">
        <v>64.29</v>
      </c>
      <c r="AD47" s="34" t="s">
        <v>54</v>
      </c>
      <c r="AE47" s="33">
        <v>32.15</v>
      </c>
      <c r="AN47" s="7" t="s">
        <v>54</v>
      </c>
      <c r="AO47" s="7" t="s">
        <v>55</v>
      </c>
      <c r="AP47" s="7" t="s">
        <v>56</v>
      </c>
      <c r="AT47" s="47" t="s">
        <v>57</v>
      </c>
      <c r="AU47" s="47" t="s">
        <v>57</v>
      </c>
    </row>
    <row r="48" spans="1:47">
      <c r="A48" s="4" t="s">
        <v>48</v>
      </c>
      <c r="C48" s="21"/>
      <c r="D48" s="22" t="s">
        <v>49</v>
      </c>
      <c r="G48" s="23">
        <v>45092</v>
      </c>
      <c r="H48" s="24" t="s">
        <v>191</v>
      </c>
      <c r="I48" s="29"/>
      <c r="J48" s="28" t="s">
        <v>51</v>
      </c>
      <c r="L48" s="24" t="s">
        <v>192</v>
      </c>
      <c r="M48" s="1" t="str">
        <f>"342101197105068049"</f>
        <v>342101197105068049</v>
      </c>
      <c r="N48" s="24" t="s">
        <v>192</v>
      </c>
      <c r="O48" s="1" t="str">
        <f>"342101197105068049"</f>
        <v>342101197105068049</v>
      </c>
      <c r="P48" s="23" t="s">
        <v>193</v>
      </c>
      <c r="Q48" s="23">
        <v>45093</v>
      </c>
      <c r="R48" s="32">
        <v>45459</v>
      </c>
      <c r="V48" s="33">
        <v>50</v>
      </c>
      <c r="W48" s="28">
        <v>64.29</v>
      </c>
      <c r="X48" s="34" t="s">
        <v>54</v>
      </c>
      <c r="Y48" s="33">
        <v>32.15</v>
      </c>
      <c r="Z48" s="37"/>
      <c r="AA48" s="36"/>
      <c r="AC48" s="28">
        <v>64.29</v>
      </c>
      <c r="AD48" s="34" t="s">
        <v>54</v>
      </c>
      <c r="AE48" s="33">
        <v>32.15</v>
      </c>
      <c r="AN48" s="7" t="s">
        <v>54</v>
      </c>
      <c r="AO48" s="7" t="s">
        <v>55</v>
      </c>
      <c r="AP48" s="7" t="s">
        <v>56</v>
      </c>
      <c r="AT48" s="47" t="s">
        <v>57</v>
      </c>
      <c r="AU48" s="47" t="s">
        <v>57</v>
      </c>
    </row>
    <row r="49" spans="1:47">
      <c r="A49" s="4" t="s">
        <v>48</v>
      </c>
      <c r="C49" s="21"/>
      <c r="D49" s="22" t="s">
        <v>49</v>
      </c>
      <c r="G49" s="23">
        <v>45102</v>
      </c>
      <c r="H49" s="24" t="s">
        <v>194</v>
      </c>
      <c r="I49" s="29"/>
      <c r="J49" s="28" t="s">
        <v>51</v>
      </c>
      <c r="L49" s="24" t="s">
        <v>195</v>
      </c>
      <c r="M49" s="1" t="str">
        <f>"341204197007082641"</f>
        <v>341204197007082641</v>
      </c>
      <c r="N49" s="24" t="s">
        <v>195</v>
      </c>
      <c r="O49" s="1" t="str">
        <f>"341204197007082641"</f>
        <v>341204197007082641</v>
      </c>
      <c r="P49" s="23" t="s">
        <v>196</v>
      </c>
      <c r="Q49" s="23">
        <v>45103</v>
      </c>
      <c r="R49" s="32">
        <v>45469</v>
      </c>
      <c r="V49" s="33">
        <v>100</v>
      </c>
      <c r="W49" s="28">
        <v>64.29</v>
      </c>
      <c r="X49" s="34" t="s">
        <v>54</v>
      </c>
      <c r="Y49" s="33">
        <v>64.29</v>
      </c>
      <c r="Z49" s="37"/>
      <c r="AA49" s="36"/>
      <c r="AC49" s="28">
        <v>64.29</v>
      </c>
      <c r="AD49" s="34" t="s">
        <v>54</v>
      </c>
      <c r="AE49" s="33">
        <v>64.29</v>
      </c>
      <c r="AN49" s="7" t="s">
        <v>54</v>
      </c>
      <c r="AO49" s="7" t="s">
        <v>55</v>
      </c>
      <c r="AP49" s="7" t="s">
        <v>56</v>
      </c>
      <c r="AT49" s="47" t="s">
        <v>57</v>
      </c>
      <c r="AU49" s="47" t="s">
        <v>57</v>
      </c>
    </row>
    <row r="50" spans="1:47">
      <c r="A50" s="4" t="s">
        <v>48</v>
      </c>
      <c r="C50" s="21"/>
      <c r="D50" s="22" t="s">
        <v>49</v>
      </c>
      <c r="G50" s="23">
        <v>45098</v>
      </c>
      <c r="H50" s="24" t="s">
        <v>197</v>
      </c>
      <c r="I50" s="29"/>
      <c r="J50" s="28" t="s">
        <v>51</v>
      </c>
      <c r="L50" s="24" t="s">
        <v>198</v>
      </c>
      <c r="M50" s="1" t="str">
        <f>"131082199305175529"</f>
        <v>131082199305175529</v>
      </c>
      <c r="N50" s="24" t="s">
        <v>198</v>
      </c>
      <c r="O50" s="1" t="str">
        <f>"131082199305175529"</f>
        <v>131082199305175529</v>
      </c>
      <c r="P50" s="23" t="s">
        <v>199</v>
      </c>
      <c r="Q50" s="23">
        <v>45099</v>
      </c>
      <c r="R50" s="32">
        <v>45465</v>
      </c>
      <c r="V50" s="33">
        <v>100</v>
      </c>
      <c r="W50" s="28">
        <v>64.29</v>
      </c>
      <c r="X50" s="34" t="s">
        <v>54</v>
      </c>
      <c r="Y50" s="33">
        <v>64.29</v>
      </c>
      <c r="Z50" s="37"/>
      <c r="AA50" s="36"/>
      <c r="AC50" s="28">
        <v>64.29</v>
      </c>
      <c r="AD50" s="34" t="s">
        <v>54</v>
      </c>
      <c r="AE50" s="33">
        <v>64.29</v>
      </c>
      <c r="AN50" s="7" t="s">
        <v>54</v>
      </c>
      <c r="AO50" s="7" t="s">
        <v>55</v>
      </c>
      <c r="AP50" s="7" t="s">
        <v>56</v>
      </c>
      <c r="AT50" s="47" t="s">
        <v>57</v>
      </c>
      <c r="AU50" s="47" t="s">
        <v>57</v>
      </c>
    </row>
    <row r="51" spans="1:47">
      <c r="A51" s="4" t="s">
        <v>48</v>
      </c>
      <c r="C51" s="21"/>
      <c r="D51" s="22" t="s">
        <v>49</v>
      </c>
      <c r="G51" s="23">
        <v>45100</v>
      </c>
      <c r="H51" s="24" t="s">
        <v>200</v>
      </c>
      <c r="I51" s="29"/>
      <c r="J51" s="28" t="s">
        <v>51</v>
      </c>
      <c r="L51" s="24" t="s">
        <v>201</v>
      </c>
      <c r="M51" s="1" t="str">
        <f>"341202199012211731"</f>
        <v>341202199012211731</v>
      </c>
      <c r="N51" s="24" t="s">
        <v>201</v>
      </c>
      <c r="O51" s="1" t="str">
        <f>"341202199012211731"</f>
        <v>341202199012211731</v>
      </c>
      <c r="P51" s="23" t="s">
        <v>202</v>
      </c>
      <c r="Q51" s="23">
        <v>45101</v>
      </c>
      <c r="R51" s="32">
        <v>45467</v>
      </c>
      <c r="V51" s="33">
        <v>100</v>
      </c>
      <c r="W51" s="28">
        <v>64.29</v>
      </c>
      <c r="X51" s="34" t="s">
        <v>54</v>
      </c>
      <c r="Y51" s="33">
        <v>64.29</v>
      </c>
      <c r="Z51" s="37"/>
      <c r="AA51" s="36"/>
      <c r="AC51" s="28">
        <v>64.29</v>
      </c>
      <c r="AD51" s="34" t="s">
        <v>54</v>
      </c>
      <c r="AE51" s="33">
        <v>64.29</v>
      </c>
      <c r="AN51" s="7" t="s">
        <v>54</v>
      </c>
      <c r="AO51" s="7" t="s">
        <v>55</v>
      </c>
      <c r="AP51" s="7" t="s">
        <v>56</v>
      </c>
      <c r="AT51" s="47" t="s">
        <v>57</v>
      </c>
      <c r="AU51" s="47" t="s">
        <v>57</v>
      </c>
    </row>
    <row r="52" spans="1:47">
      <c r="A52" s="4" t="s">
        <v>48</v>
      </c>
      <c r="C52" s="21"/>
      <c r="D52" s="22" t="s">
        <v>49</v>
      </c>
      <c r="G52" s="23">
        <v>45102</v>
      </c>
      <c r="H52" s="24" t="s">
        <v>203</v>
      </c>
      <c r="I52" s="29"/>
      <c r="J52" s="28" t="s">
        <v>51</v>
      </c>
      <c r="L52" s="24" t="s">
        <v>204</v>
      </c>
      <c r="M52" s="1" t="str">
        <f>"341225199307144614"</f>
        <v>341225199307144614</v>
      </c>
      <c r="N52" s="24" t="s">
        <v>204</v>
      </c>
      <c r="O52" s="1" t="str">
        <f>"341225199307144614"</f>
        <v>341225199307144614</v>
      </c>
      <c r="P52" s="23" t="s">
        <v>205</v>
      </c>
      <c r="Q52" s="23">
        <v>45103</v>
      </c>
      <c r="R52" s="32">
        <v>45469</v>
      </c>
      <c r="V52" s="33">
        <v>100</v>
      </c>
      <c r="W52" s="28">
        <v>64.29</v>
      </c>
      <c r="X52" s="34" t="s">
        <v>54</v>
      </c>
      <c r="Y52" s="33">
        <v>64.29</v>
      </c>
      <c r="Z52" s="37"/>
      <c r="AA52" s="36"/>
      <c r="AC52" s="28">
        <v>64.29</v>
      </c>
      <c r="AD52" s="34" t="s">
        <v>54</v>
      </c>
      <c r="AE52" s="33">
        <v>64.29</v>
      </c>
      <c r="AN52" s="7" t="s">
        <v>54</v>
      </c>
      <c r="AO52" s="7" t="s">
        <v>55</v>
      </c>
      <c r="AP52" s="7" t="s">
        <v>56</v>
      </c>
      <c r="AT52" s="47" t="s">
        <v>57</v>
      </c>
      <c r="AU52" s="47" t="s">
        <v>57</v>
      </c>
    </row>
    <row r="53" spans="1:47">
      <c r="A53" s="4" t="s">
        <v>48</v>
      </c>
      <c r="C53" s="21"/>
      <c r="D53" s="22" t="s">
        <v>49</v>
      </c>
      <c r="G53" s="23">
        <v>45102</v>
      </c>
      <c r="H53" s="24" t="s">
        <v>206</v>
      </c>
      <c r="I53" s="29"/>
      <c r="J53" s="28" t="s">
        <v>51</v>
      </c>
      <c r="L53" s="24" t="s">
        <v>207</v>
      </c>
      <c r="M53" s="1" t="str">
        <f>"342121195203047213"</f>
        <v>342121195203047213</v>
      </c>
      <c r="N53" s="24" t="s">
        <v>207</v>
      </c>
      <c r="O53" s="1" t="str">
        <f>"342121195203047213"</f>
        <v>342121195203047213</v>
      </c>
      <c r="P53" s="23" t="s">
        <v>208</v>
      </c>
      <c r="Q53" s="23">
        <v>45103</v>
      </c>
      <c r="R53" s="32">
        <v>45469</v>
      </c>
      <c r="V53" s="33">
        <v>100</v>
      </c>
      <c r="W53" s="28">
        <v>64.29</v>
      </c>
      <c r="X53" s="34" t="s">
        <v>54</v>
      </c>
      <c r="Y53" s="33">
        <v>64.29</v>
      </c>
      <c r="Z53" s="37"/>
      <c r="AA53" s="36"/>
      <c r="AC53" s="28">
        <v>64.29</v>
      </c>
      <c r="AD53" s="34" t="s">
        <v>54</v>
      </c>
      <c r="AE53" s="33">
        <v>64.29</v>
      </c>
      <c r="AN53" s="7" t="s">
        <v>54</v>
      </c>
      <c r="AO53" s="7" t="s">
        <v>55</v>
      </c>
      <c r="AP53" s="7" t="s">
        <v>56</v>
      </c>
      <c r="AT53" s="47" t="s">
        <v>57</v>
      </c>
      <c r="AU53" s="47" t="s">
        <v>57</v>
      </c>
    </row>
    <row r="54" spans="1:47">
      <c r="A54" s="4" t="s">
        <v>48</v>
      </c>
      <c r="C54" s="21"/>
      <c r="D54" s="22" t="s">
        <v>49</v>
      </c>
      <c r="G54" s="23">
        <v>45090</v>
      </c>
      <c r="H54" s="24" t="s">
        <v>209</v>
      </c>
      <c r="I54" s="29"/>
      <c r="J54" s="28" t="s">
        <v>51</v>
      </c>
      <c r="L54" s="24" t="s">
        <v>210</v>
      </c>
      <c r="M54" s="1" t="str">
        <f>"13102819800925203X"</f>
        <v>13102819800925203X</v>
      </c>
      <c r="N54" s="24" t="s">
        <v>210</v>
      </c>
      <c r="O54" s="1" t="str">
        <f>"13102819800925203X"</f>
        <v>13102819800925203X</v>
      </c>
      <c r="P54" s="23" t="s">
        <v>211</v>
      </c>
      <c r="Q54" s="23">
        <v>45138</v>
      </c>
      <c r="R54" s="32">
        <v>45504</v>
      </c>
      <c r="V54" s="33">
        <v>100</v>
      </c>
      <c r="W54" s="28">
        <v>64.29</v>
      </c>
      <c r="X54" s="34" t="s">
        <v>54</v>
      </c>
      <c r="Y54" s="33">
        <v>64.29</v>
      </c>
      <c r="Z54" s="37"/>
      <c r="AA54" s="36"/>
      <c r="AC54" s="28">
        <v>64.29</v>
      </c>
      <c r="AD54" s="34" t="s">
        <v>54</v>
      </c>
      <c r="AE54" s="33">
        <v>64.29</v>
      </c>
      <c r="AN54" s="7" t="s">
        <v>54</v>
      </c>
      <c r="AO54" s="7" t="s">
        <v>55</v>
      </c>
      <c r="AP54" s="7" t="s">
        <v>56</v>
      </c>
      <c r="AT54" s="47" t="s">
        <v>57</v>
      </c>
      <c r="AU54" s="47" t="s">
        <v>57</v>
      </c>
    </row>
    <row r="55" spans="1:47">
      <c r="A55" s="4" t="s">
        <v>48</v>
      </c>
      <c r="C55" s="21"/>
      <c r="D55" s="22" t="s">
        <v>49</v>
      </c>
      <c r="G55" s="23">
        <v>45090</v>
      </c>
      <c r="H55" s="24" t="s">
        <v>212</v>
      </c>
      <c r="I55" s="29"/>
      <c r="J55" s="28" t="s">
        <v>51</v>
      </c>
      <c r="L55" s="24" t="s">
        <v>213</v>
      </c>
      <c r="M55" s="1" t="str">
        <f>"342122197603030416"</f>
        <v>342122197603030416</v>
      </c>
      <c r="N55" s="24" t="s">
        <v>213</v>
      </c>
      <c r="O55" s="1" t="str">
        <f>"342122197603030416"</f>
        <v>342122197603030416</v>
      </c>
      <c r="P55" s="23" t="s">
        <v>214</v>
      </c>
      <c r="Q55" s="23">
        <v>45091</v>
      </c>
      <c r="R55" s="32">
        <v>45457</v>
      </c>
      <c r="V55" s="33">
        <v>100</v>
      </c>
      <c r="W55" s="28">
        <v>64.29</v>
      </c>
      <c r="X55" s="34" t="s">
        <v>54</v>
      </c>
      <c r="Y55" s="33">
        <v>64.29</v>
      </c>
      <c r="Z55" s="37"/>
      <c r="AA55" s="36"/>
      <c r="AC55" s="28">
        <v>64.29</v>
      </c>
      <c r="AD55" s="34" t="s">
        <v>54</v>
      </c>
      <c r="AE55" s="33">
        <v>64.29</v>
      </c>
      <c r="AN55" s="7" t="s">
        <v>54</v>
      </c>
      <c r="AO55" s="7" t="s">
        <v>55</v>
      </c>
      <c r="AP55" s="7" t="s">
        <v>56</v>
      </c>
      <c r="AT55" s="47" t="s">
        <v>57</v>
      </c>
      <c r="AU55" s="47" t="s">
        <v>57</v>
      </c>
    </row>
    <row r="56" spans="1:47">
      <c r="A56" s="4" t="s">
        <v>48</v>
      </c>
      <c r="C56" s="21"/>
      <c r="D56" s="22" t="s">
        <v>49</v>
      </c>
      <c r="G56" s="23">
        <v>45090</v>
      </c>
      <c r="H56" s="24" t="s">
        <v>215</v>
      </c>
      <c r="I56" s="29"/>
      <c r="J56" s="28" t="s">
        <v>51</v>
      </c>
      <c r="L56" s="24" t="s">
        <v>216</v>
      </c>
      <c r="M56" s="1" t="str">
        <f>"131082196802240260"</f>
        <v>131082196802240260</v>
      </c>
      <c r="N56" s="24" t="s">
        <v>216</v>
      </c>
      <c r="O56" s="1" t="str">
        <f>"131082196802240260"</f>
        <v>131082196802240260</v>
      </c>
      <c r="P56" s="23" t="s">
        <v>217</v>
      </c>
      <c r="Q56" s="23">
        <v>45091</v>
      </c>
      <c r="R56" s="32">
        <v>45457</v>
      </c>
      <c r="V56" s="33">
        <v>100</v>
      </c>
      <c r="W56" s="28">
        <v>64.29</v>
      </c>
      <c r="X56" s="34" t="s">
        <v>54</v>
      </c>
      <c r="Y56" s="33">
        <v>64.29</v>
      </c>
      <c r="Z56" s="37"/>
      <c r="AA56" s="36"/>
      <c r="AC56" s="28">
        <v>64.29</v>
      </c>
      <c r="AD56" s="34" t="s">
        <v>54</v>
      </c>
      <c r="AE56" s="33">
        <v>64.29</v>
      </c>
      <c r="AN56" s="7" t="s">
        <v>54</v>
      </c>
      <c r="AO56" s="7" t="s">
        <v>55</v>
      </c>
      <c r="AP56" s="7" t="s">
        <v>56</v>
      </c>
      <c r="AT56" s="47" t="s">
        <v>57</v>
      </c>
      <c r="AU56" s="47" t="s">
        <v>57</v>
      </c>
    </row>
    <row r="57" spans="1:47">
      <c r="A57" s="4" t="s">
        <v>48</v>
      </c>
      <c r="C57" s="21"/>
      <c r="D57" s="22" t="s">
        <v>49</v>
      </c>
      <c r="G57" s="23">
        <v>45077</v>
      </c>
      <c r="H57" s="24" t="s">
        <v>218</v>
      </c>
      <c r="I57" s="29"/>
      <c r="J57" s="28" t="s">
        <v>51</v>
      </c>
      <c r="L57" s="24" t="s">
        <v>219</v>
      </c>
      <c r="M57" s="1" t="str">
        <f>"132826197304152012"</f>
        <v>132826197304152012</v>
      </c>
      <c r="N57" s="24" t="s">
        <v>219</v>
      </c>
      <c r="O57" s="1" t="str">
        <f>"132826197304152012"</f>
        <v>132826197304152012</v>
      </c>
      <c r="P57" s="23" t="s">
        <v>220</v>
      </c>
      <c r="Q57" s="23">
        <v>45170</v>
      </c>
      <c r="R57" s="32">
        <v>45536</v>
      </c>
      <c r="V57" s="33">
        <v>100</v>
      </c>
      <c r="W57" s="28">
        <v>64.29</v>
      </c>
      <c r="X57" s="34" t="s">
        <v>54</v>
      </c>
      <c r="Y57" s="33">
        <v>64.29</v>
      </c>
      <c r="Z57" s="37"/>
      <c r="AA57" s="36"/>
      <c r="AC57" s="28">
        <v>64.29</v>
      </c>
      <c r="AD57" s="34" t="s">
        <v>54</v>
      </c>
      <c r="AE57" s="33">
        <v>64.29</v>
      </c>
      <c r="AN57" s="7" t="s">
        <v>54</v>
      </c>
      <c r="AO57" s="7" t="s">
        <v>55</v>
      </c>
      <c r="AP57" s="7" t="s">
        <v>56</v>
      </c>
      <c r="AT57" s="47" t="s">
        <v>57</v>
      </c>
      <c r="AU57" s="47" t="s">
        <v>57</v>
      </c>
    </row>
    <row r="58" spans="1:47">
      <c r="A58" s="4" t="s">
        <v>48</v>
      </c>
      <c r="C58" s="21"/>
      <c r="D58" s="22" t="s">
        <v>49</v>
      </c>
      <c r="G58" s="23">
        <v>45076</v>
      </c>
      <c r="H58" s="24" t="s">
        <v>221</v>
      </c>
      <c r="I58" s="29"/>
      <c r="J58" s="28" t="s">
        <v>51</v>
      </c>
      <c r="L58" s="24" t="s">
        <v>222</v>
      </c>
      <c r="M58" s="1" t="str">
        <f>"13068419930218423X"</f>
        <v>13068419930218423X</v>
      </c>
      <c r="N58" s="24" t="s">
        <v>222</v>
      </c>
      <c r="O58" s="1" t="str">
        <f>"13068419930218423X"</f>
        <v>13068419930218423X</v>
      </c>
      <c r="P58" s="23" t="s">
        <v>223</v>
      </c>
      <c r="Q58" s="23">
        <v>45077</v>
      </c>
      <c r="R58" s="32">
        <v>45443</v>
      </c>
      <c r="V58" s="33">
        <v>100</v>
      </c>
      <c r="W58" s="28">
        <v>64.29</v>
      </c>
      <c r="X58" s="34" t="s">
        <v>54</v>
      </c>
      <c r="Y58" s="33">
        <v>64.29</v>
      </c>
      <c r="Z58" s="37"/>
      <c r="AA58" s="36"/>
      <c r="AC58" s="28">
        <v>64.29</v>
      </c>
      <c r="AD58" s="34" t="s">
        <v>54</v>
      </c>
      <c r="AE58" s="33">
        <v>64.29</v>
      </c>
      <c r="AN58" s="7" t="s">
        <v>54</v>
      </c>
      <c r="AO58" s="7" t="s">
        <v>55</v>
      </c>
      <c r="AP58" s="7" t="s">
        <v>56</v>
      </c>
      <c r="AT58" s="47" t="s">
        <v>57</v>
      </c>
      <c r="AU58" s="47" t="s">
        <v>57</v>
      </c>
    </row>
    <row r="59" spans="1:47">
      <c r="A59" s="4" t="s">
        <v>48</v>
      </c>
      <c r="C59" s="21"/>
      <c r="D59" s="22" t="s">
        <v>49</v>
      </c>
      <c r="G59" s="23">
        <v>45077</v>
      </c>
      <c r="H59" s="24" t="s">
        <v>224</v>
      </c>
      <c r="I59" s="29"/>
      <c r="J59" s="28" t="s">
        <v>51</v>
      </c>
      <c r="L59" s="24" t="s">
        <v>225</v>
      </c>
      <c r="M59" s="1" t="str">
        <f>"131024198912085041"</f>
        <v>131024198912085041</v>
      </c>
      <c r="N59" s="24" t="s">
        <v>225</v>
      </c>
      <c r="O59" s="1" t="str">
        <f>"131024198912085041"</f>
        <v>131024198912085041</v>
      </c>
      <c r="P59" s="23" t="s">
        <v>226</v>
      </c>
      <c r="Q59" s="23">
        <v>45078</v>
      </c>
      <c r="R59" s="32">
        <v>45444</v>
      </c>
      <c r="V59" s="33">
        <v>100</v>
      </c>
      <c r="W59" s="28">
        <v>64.29</v>
      </c>
      <c r="X59" s="34" t="s">
        <v>54</v>
      </c>
      <c r="Y59" s="33">
        <v>64.29</v>
      </c>
      <c r="Z59" s="37"/>
      <c r="AA59" s="36"/>
      <c r="AC59" s="28">
        <v>64.29</v>
      </c>
      <c r="AD59" s="34" t="s">
        <v>54</v>
      </c>
      <c r="AE59" s="33">
        <v>64.29</v>
      </c>
      <c r="AN59" s="7" t="s">
        <v>54</v>
      </c>
      <c r="AO59" s="7" t="s">
        <v>55</v>
      </c>
      <c r="AP59" s="7" t="s">
        <v>56</v>
      </c>
      <c r="AT59" s="47" t="s">
        <v>57</v>
      </c>
      <c r="AU59" s="47" t="s">
        <v>57</v>
      </c>
    </row>
    <row r="60" spans="1:47">
      <c r="A60" s="4" t="s">
        <v>48</v>
      </c>
      <c r="C60" s="21"/>
      <c r="D60" s="22" t="s">
        <v>49</v>
      </c>
      <c r="G60" s="23">
        <v>45079</v>
      </c>
      <c r="H60" s="24" t="s">
        <v>227</v>
      </c>
      <c r="I60" s="29"/>
      <c r="J60" s="28" t="s">
        <v>51</v>
      </c>
      <c r="L60" s="24" t="s">
        <v>228</v>
      </c>
      <c r="M60" s="1" t="str">
        <f>"132821196110250275"</f>
        <v>132821196110250275</v>
      </c>
      <c r="N60" s="24" t="s">
        <v>228</v>
      </c>
      <c r="O60" s="1" t="str">
        <f>"132821196110250275"</f>
        <v>132821196110250275</v>
      </c>
      <c r="P60" s="23" t="s">
        <v>229</v>
      </c>
      <c r="Q60" s="23">
        <v>45080</v>
      </c>
      <c r="R60" s="32">
        <v>45446</v>
      </c>
      <c r="V60" s="33">
        <v>300</v>
      </c>
      <c r="W60" s="28">
        <v>64.29</v>
      </c>
      <c r="X60" s="34" t="s">
        <v>54</v>
      </c>
      <c r="Y60" s="33">
        <v>192.87</v>
      </c>
      <c r="Z60" s="37"/>
      <c r="AA60" s="36"/>
      <c r="AC60" s="28">
        <v>64.29</v>
      </c>
      <c r="AD60" s="34" t="s">
        <v>54</v>
      </c>
      <c r="AE60" s="33">
        <v>192.87</v>
      </c>
      <c r="AN60" s="7" t="s">
        <v>54</v>
      </c>
      <c r="AO60" s="7" t="s">
        <v>55</v>
      </c>
      <c r="AP60" s="7" t="s">
        <v>56</v>
      </c>
      <c r="AT60" s="47" t="s">
        <v>57</v>
      </c>
      <c r="AU60" s="47" t="s">
        <v>57</v>
      </c>
    </row>
    <row r="61" spans="1:47">
      <c r="A61" s="4" t="s">
        <v>48</v>
      </c>
      <c r="C61" s="21"/>
      <c r="D61" s="22" t="s">
        <v>49</v>
      </c>
      <c r="G61" s="23">
        <v>45080</v>
      </c>
      <c r="H61" s="24" t="s">
        <v>230</v>
      </c>
      <c r="I61" s="29"/>
      <c r="J61" s="28" t="s">
        <v>51</v>
      </c>
      <c r="L61" s="24" t="s">
        <v>231</v>
      </c>
      <c r="M61" s="1" t="str">
        <f>"130206198210180033"</f>
        <v>130206198210180033</v>
      </c>
      <c r="N61" s="24" t="s">
        <v>231</v>
      </c>
      <c r="O61" s="1" t="str">
        <f>"130206198210180033"</f>
        <v>130206198210180033</v>
      </c>
      <c r="P61" s="23" t="s">
        <v>232</v>
      </c>
      <c r="Q61" s="23">
        <v>45081</v>
      </c>
      <c r="R61" s="32">
        <v>45447</v>
      </c>
      <c r="V61" s="33">
        <v>300</v>
      </c>
      <c r="W61" s="28">
        <v>64.29</v>
      </c>
      <c r="X61" s="34" t="s">
        <v>54</v>
      </c>
      <c r="Y61" s="33">
        <v>192.87</v>
      </c>
      <c r="Z61" s="37"/>
      <c r="AA61" s="36"/>
      <c r="AC61" s="28">
        <v>64.29</v>
      </c>
      <c r="AD61" s="34" t="s">
        <v>54</v>
      </c>
      <c r="AE61" s="33">
        <v>192.87</v>
      </c>
      <c r="AN61" s="7" t="s">
        <v>54</v>
      </c>
      <c r="AO61" s="7" t="s">
        <v>55</v>
      </c>
      <c r="AP61" s="7" t="s">
        <v>56</v>
      </c>
      <c r="AT61" s="47" t="s">
        <v>57</v>
      </c>
      <c r="AU61" s="47" t="s">
        <v>57</v>
      </c>
    </row>
    <row r="62" spans="1:47">
      <c r="A62" s="4" t="s">
        <v>48</v>
      </c>
      <c r="C62" s="21"/>
      <c r="D62" s="22" t="s">
        <v>49</v>
      </c>
      <c r="G62" s="23">
        <v>45080</v>
      </c>
      <c r="H62" s="24" t="s">
        <v>233</v>
      </c>
      <c r="I62" s="29"/>
      <c r="J62" s="28" t="s">
        <v>51</v>
      </c>
      <c r="L62" s="24" t="s">
        <v>234</v>
      </c>
      <c r="M62" s="1" t="str">
        <f>"131024198110096312"</f>
        <v>131024198110096312</v>
      </c>
      <c r="N62" s="24" t="s">
        <v>234</v>
      </c>
      <c r="O62" s="1" t="str">
        <f>"131024198110096312"</f>
        <v>131024198110096312</v>
      </c>
      <c r="P62" s="23" t="s">
        <v>235</v>
      </c>
      <c r="Q62" s="23">
        <v>45081</v>
      </c>
      <c r="R62" s="32">
        <v>45447</v>
      </c>
      <c r="V62" s="33">
        <v>300</v>
      </c>
      <c r="W62" s="28">
        <v>64.29</v>
      </c>
      <c r="X62" s="34" t="s">
        <v>54</v>
      </c>
      <c r="Y62" s="33">
        <v>192.87</v>
      </c>
      <c r="Z62" s="37"/>
      <c r="AA62" s="36"/>
      <c r="AC62" s="28">
        <v>64.29</v>
      </c>
      <c r="AD62" s="34" t="s">
        <v>54</v>
      </c>
      <c r="AE62" s="33">
        <v>192.87</v>
      </c>
      <c r="AN62" s="7" t="s">
        <v>54</v>
      </c>
      <c r="AO62" s="7" t="s">
        <v>55</v>
      </c>
      <c r="AP62" s="7" t="s">
        <v>56</v>
      </c>
      <c r="AT62" s="47" t="s">
        <v>57</v>
      </c>
      <c r="AU62" s="47" t="s">
        <v>57</v>
      </c>
    </row>
    <row r="63" spans="1:47">
      <c r="A63" s="4" t="s">
        <v>48</v>
      </c>
      <c r="C63" s="21"/>
      <c r="D63" s="22" t="s">
        <v>49</v>
      </c>
      <c r="G63" s="23">
        <v>45098</v>
      </c>
      <c r="H63" s="24" t="s">
        <v>236</v>
      </c>
      <c r="I63" s="29"/>
      <c r="J63" s="28" t="s">
        <v>51</v>
      </c>
      <c r="L63" s="24" t="s">
        <v>237</v>
      </c>
      <c r="M63" s="1" t="str">
        <f>"110105199002253129"</f>
        <v>110105199002253129</v>
      </c>
      <c r="N63" s="24" t="s">
        <v>237</v>
      </c>
      <c r="O63" s="1" t="str">
        <f>"110105199002253129"</f>
        <v>110105199002253129</v>
      </c>
      <c r="P63" s="23" t="s">
        <v>238</v>
      </c>
      <c r="Q63" s="23">
        <v>45163</v>
      </c>
      <c r="R63" s="32">
        <v>45529</v>
      </c>
      <c r="V63" s="33">
        <v>600</v>
      </c>
      <c r="W63" s="28">
        <v>64.29</v>
      </c>
      <c r="X63" s="34" t="s">
        <v>54</v>
      </c>
      <c r="Y63" s="33">
        <v>385.74</v>
      </c>
      <c r="Z63" s="37"/>
      <c r="AA63" s="36"/>
      <c r="AC63" s="28">
        <v>64.29</v>
      </c>
      <c r="AD63" s="34" t="s">
        <v>54</v>
      </c>
      <c r="AE63" s="33">
        <v>385.74</v>
      </c>
      <c r="AN63" s="7" t="s">
        <v>54</v>
      </c>
      <c r="AO63" s="7" t="s">
        <v>55</v>
      </c>
      <c r="AP63" s="7" t="s">
        <v>56</v>
      </c>
      <c r="AT63" s="47" t="s">
        <v>57</v>
      </c>
      <c r="AU63" s="47" t="s">
        <v>57</v>
      </c>
    </row>
    <row r="64" spans="1:47">
      <c r="A64" s="4" t="s">
        <v>48</v>
      </c>
      <c r="C64" s="21"/>
      <c r="D64" s="22" t="s">
        <v>49</v>
      </c>
      <c r="G64" s="23">
        <v>45098</v>
      </c>
      <c r="H64" s="24" t="s">
        <v>239</v>
      </c>
      <c r="I64" s="29"/>
      <c r="J64" s="28" t="s">
        <v>51</v>
      </c>
      <c r="L64" s="24" t="s">
        <v>240</v>
      </c>
      <c r="M64" s="1" t="str">
        <f>"131024198809011335"</f>
        <v>131024198809011335</v>
      </c>
      <c r="N64" s="24" t="s">
        <v>240</v>
      </c>
      <c r="O64" s="1" t="str">
        <f>"131024198809011335"</f>
        <v>131024198809011335</v>
      </c>
      <c r="P64" s="23" t="s">
        <v>241</v>
      </c>
      <c r="Q64" s="23">
        <v>45191</v>
      </c>
      <c r="R64" s="32">
        <v>45557</v>
      </c>
      <c r="V64" s="33">
        <v>600</v>
      </c>
      <c r="W64" s="28">
        <v>64.29</v>
      </c>
      <c r="X64" s="34" t="s">
        <v>54</v>
      </c>
      <c r="Y64" s="33">
        <v>385.74</v>
      </c>
      <c r="Z64" s="37"/>
      <c r="AA64" s="36"/>
      <c r="AC64" s="28">
        <v>64.29</v>
      </c>
      <c r="AD64" s="34" t="s">
        <v>54</v>
      </c>
      <c r="AE64" s="33">
        <v>385.74</v>
      </c>
      <c r="AN64" s="7" t="s">
        <v>54</v>
      </c>
      <c r="AO64" s="7" t="s">
        <v>55</v>
      </c>
      <c r="AP64" s="7" t="s">
        <v>56</v>
      </c>
      <c r="AT64" s="47" t="s">
        <v>57</v>
      </c>
      <c r="AU64" s="47" t="s">
        <v>57</v>
      </c>
    </row>
    <row r="65" spans="1:47">
      <c r="A65" s="4" t="s">
        <v>48</v>
      </c>
      <c r="C65" s="21"/>
      <c r="D65" s="22" t="s">
        <v>49</v>
      </c>
      <c r="G65" s="23">
        <v>45098</v>
      </c>
      <c r="H65" s="24" t="s">
        <v>242</v>
      </c>
      <c r="I65" s="29"/>
      <c r="J65" s="28" t="s">
        <v>51</v>
      </c>
      <c r="L65" s="24" t="s">
        <v>243</v>
      </c>
      <c r="M65" s="1" t="str">
        <f>"131082198804105520"</f>
        <v>131082198804105520</v>
      </c>
      <c r="N65" s="24" t="s">
        <v>243</v>
      </c>
      <c r="O65" s="1" t="str">
        <f>"131082198804105520"</f>
        <v>131082198804105520</v>
      </c>
      <c r="P65" s="23" t="s">
        <v>244</v>
      </c>
      <c r="Q65" s="23">
        <v>45099</v>
      </c>
      <c r="R65" s="32">
        <v>45465</v>
      </c>
      <c r="V65" s="33">
        <v>600</v>
      </c>
      <c r="W65" s="28">
        <v>64.29</v>
      </c>
      <c r="X65" s="34" t="s">
        <v>54</v>
      </c>
      <c r="Y65" s="33">
        <v>385.74</v>
      </c>
      <c r="Z65" s="37"/>
      <c r="AA65" s="36"/>
      <c r="AC65" s="28">
        <v>64.29</v>
      </c>
      <c r="AD65" s="34" t="s">
        <v>54</v>
      </c>
      <c r="AE65" s="33">
        <v>385.74</v>
      </c>
      <c r="AN65" s="7" t="s">
        <v>54</v>
      </c>
      <c r="AO65" s="7" t="s">
        <v>55</v>
      </c>
      <c r="AP65" s="7" t="s">
        <v>56</v>
      </c>
      <c r="AT65" s="47" t="s">
        <v>57</v>
      </c>
      <c r="AU65" s="47" t="s">
        <v>57</v>
      </c>
    </row>
    <row r="66" spans="1:47">
      <c r="A66" s="4" t="s">
        <v>48</v>
      </c>
      <c r="C66" s="21"/>
      <c r="D66" s="22" t="s">
        <v>49</v>
      </c>
      <c r="G66" s="23">
        <v>45092</v>
      </c>
      <c r="H66" s="24" t="s">
        <v>245</v>
      </c>
      <c r="I66" s="29"/>
      <c r="J66" s="28" t="s">
        <v>51</v>
      </c>
      <c r="L66" s="24" t="s">
        <v>246</v>
      </c>
      <c r="M66" s="1" t="str">
        <f>"34210119500920104X"</f>
        <v>34210119500920104X</v>
      </c>
      <c r="N66" s="24" t="s">
        <v>246</v>
      </c>
      <c r="O66" s="1" t="str">
        <f>"34210119500920104X"</f>
        <v>34210119500920104X</v>
      </c>
      <c r="P66" s="23" t="s">
        <v>247</v>
      </c>
      <c r="Q66" s="23">
        <v>45093</v>
      </c>
      <c r="R66" s="32">
        <v>45459</v>
      </c>
      <c r="V66" s="33">
        <v>600</v>
      </c>
      <c r="W66" s="28">
        <v>64.29</v>
      </c>
      <c r="X66" s="34" t="s">
        <v>54</v>
      </c>
      <c r="Y66" s="33">
        <v>385.74</v>
      </c>
      <c r="Z66" s="37"/>
      <c r="AA66" s="36"/>
      <c r="AC66" s="28">
        <v>64.29</v>
      </c>
      <c r="AD66" s="34" t="s">
        <v>54</v>
      </c>
      <c r="AE66" s="33">
        <v>385.74</v>
      </c>
      <c r="AN66" s="7" t="s">
        <v>54</v>
      </c>
      <c r="AO66" s="7" t="s">
        <v>55</v>
      </c>
      <c r="AP66" s="7" t="s">
        <v>56</v>
      </c>
      <c r="AT66" s="47" t="s">
        <v>57</v>
      </c>
      <c r="AU66" s="47" t="s">
        <v>57</v>
      </c>
    </row>
    <row r="67" spans="1:47">
      <c r="A67" s="4" t="s">
        <v>48</v>
      </c>
      <c r="C67" s="21"/>
      <c r="D67" s="22" t="s">
        <v>49</v>
      </c>
      <c r="G67" s="23">
        <v>45089</v>
      </c>
      <c r="H67" s="24" t="s">
        <v>248</v>
      </c>
      <c r="I67" s="29"/>
      <c r="J67" s="28" t="s">
        <v>51</v>
      </c>
      <c r="L67" s="24" t="s">
        <v>249</v>
      </c>
      <c r="M67" s="1" t="str">
        <f>"341226198112102731"</f>
        <v>341226198112102731</v>
      </c>
      <c r="N67" s="24" t="s">
        <v>249</v>
      </c>
      <c r="O67" s="1" t="str">
        <f>"341226198112102731"</f>
        <v>341226198112102731</v>
      </c>
      <c r="P67" s="23" t="s">
        <v>250</v>
      </c>
      <c r="Q67" s="23">
        <v>45090</v>
      </c>
      <c r="R67" s="32">
        <v>45456</v>
      </c>
      <c r="V67" s="33">
        <v>50</v>
      </c>
      <c r="W67" s="28">
        <v>64.29</v>
      </c>
      <c r="X67" s="34" t="s">
        <v>54</v>
      </c>
      <c r="Y67" s="33">
        <v>32.15</v>
      </c>
      <c r="Z67" s="37"/>
      <c r="AA67" s="36"/>
      <c r="AC67" s="28">
        <v>64.29</v>
      </c>
      <c r="AD67" s="34" t="s">
        <v>54</v>
      </c>
      <c r="AE67" s="33">
        <v>32.15</v>
      </c>
      <c r="AN67" s="7" t="s">
        <v>54</v>
      </c>
      <c r="AO67" s="7" t="s">
        <v>55</v>
      </c>
      <c r="AP67" s="7" t="s">
        <v>56</v>
      </c>
      <c r="AT67" s="47" t="s">
        <v>57</v>
      </c>
      <c r="AU67" s="47" t="s">
        <v>57</v>
      </c>
    </row>
    <row r="68" spans="1:47">
      <c r="A68" s="4" t="s">
        <v>48</v>
      </c>
      <c r="C68" s="21"/>
      <c r="D68" s="22" t="s">
        <v>49</v>
      </c>
      <c r="G68" s="23">
        <v>45090</v>
      </c>
      <c r="H68" s="24" t="s">
        <v>251</v>
      </c>
      <c r="I68" s="29"/>
      <c r="J68" s="28" t="s">
        <v>51</v>
      </c>
      <c r="L68" s="24" t="s">
        <v>252</v>
      </c>
      <c r="M68" s="1" t="str">
        <f>"131024198502050022"</f>
        <v>131024198502050022</v>
      </c>
      <c r="N68" s="24" t="s">
        <v>252</v>
      </c>
      <c r="O68" s="1" t="str">
        <f>"131024198502050022"</f>
        <v>131024198502050022</v>
      </c>
      <c r="P68" s="23" t="s">
        <v>253</v>
      </c>
      <c r="Q68" s="23">
        <v>45091</v>
      </c>
      <c r="R68" s="32">
        <v>45457</v>
      </c>
      <c r="V68" s="33">
        <v>50</v>
      </c>
      <c r="W68" s="28">
        <v>64.29</v>
      </c>
      <c r="X68" s="34" t="s">
        <v>54</v>
      </c>
      <c r="Y68" s="33">
        <v>32.15</v>
      </c>
      <c r="Z68" s="37"/>
      <c r="AA68" s="36"/>
      <c r="AC68" s="28">
        <v>64.29</v>
      </c>
      <c r="AD68" s="34" t="s">
        <v>54</v>
      </c>
      <c r="AE68" s="33">
        <v>32.15</v>
      </c>
      <c r="AN68" s="7" t="s">
        <v>54</v>
      </c>
      <c r="AO68" s="7" t="s">
        <v>55</v>
      </c>
      <c r="AP68" s="7" t="s">
        <v>56</v>
      </c>
      <c r="AT68" s="47" t="s">
        <v>57</v>
      </c>
      <c r="AU68" s="47" t="s">
        <v>57</v>
      </c>
    </row>
    <row r="69" spans="1:47">
      <c r="A69" s="4" t="s">
        <v>48</v>
      </c>
      <c r="C69" s="21"/>
      <c r="D69" s="22" t="s">
        <v>49</v>
      </c>
      <c r="G69" s="23">
        <v>45090</v>
      </c>
      <c r="H69" s="24" t="s">
        <v>254</v>
      </c>
      <c r="I69" s="29"/>
      <c r="J69" s="28" t="s">
        <v>51</v>
      </c>
      <c r="L69" s="24" t="s">
        <v>255</v>
      </c>
      <c r="M69" s="1" t="str">
        <f>"131082198905030038"</f>
        <v>131082198905030038</v>
      </c>
      <c r="N69" s="24" t="s">
        <v>255</v>
      </c>
      <c r="O69" s="1" t="str">
        <f>"131082198905030038"</f>
        <v>131082198905030038</v>
      </c>
      <c r="P69" s="23" t="s">
        <v>256</v>
      </c>
      <c r="Q69" s="23">
        <v>45091</v>
      </c>
      <c r="R69" s="32">
        <v>45457</v>
      </c>
      <c r="V69" s="33">
        <v>50</v>
      </c>
      <c r="W69" s="28">
        <v>64.29</v>
      </c>
      <c r="X69" s="34" t="s">
        <v>54</v>
      </c>
      <c r="Y69" s="33">
        <v>32.15</v>
      </c>
      <c r="Z69" s="37"/>
      <c r="AA69" s="36"/>
      <c r="AC69" s="28">
        <v>64.29</v>
      </c>
      <c r="AD69" s="34" t="s">
        <v>54</v>
      </c>
      <c r="AE69" s="33">
        <v>32.15</v>
      </c>
      <c r="AN69" s="7" t="s">
        <v>54</v>
      </c>
      <c r="AO69" s="7" t="s">
        <v>55</v>
      </c>
      <c r="AP69" s="7" t="s">
        <v>56</v>
      </c>
      <c r="AT69" s="47" t="s">
        <v>57</v>
      </c>
      <c r="AU69" s="47" t="s">
        <v>57</v>
      </c>
    </row>
    <row r="70" spans="1:47">
      <c r="A70" s="4" t="s">
        <v>48</v>
      </c>
      <c r="C70" s="21"/>
      <c r="D70" s="22" t="s">
        <v>49</v>
      </c>
      <c r="G70" s="23">
        <v>45089</v>
      </c>
      <c r="H70" s="24" t="s">
        <v>257</v>
      </c>
      <c r="I70" s="29"/>
      <c r="J70" s="28" t="s">
        <v>51</v>
      </c>
      <c r="L70" s="24" t="s">
        <v>258</v>
      </c>
      <c r="M70" s="1" t="str">
        <f>"341202194910043319"</f>
        <v>341202194910043319</v>
      </c>
      <c r="N70" s="24" t="s">
        <v>258</v>
      </c>
      <c r="O70" s="1" t="str">
        <f>"341202194910043319"</f>
        <v>341202194910043319</v>
      </c>
      <c r="P70" s="23" t="s">
        <v>259</v>
      </c>
      <c r="Q70" s="23">
        <v>45090</v>
      </c>
      <c r="R70" s="32">
        <v>45456</v>
      </c>
      <c r="V70" s="33">
        <v>50</v>
      </c>
      <c r="W70" s="28">
        <v>64.29</v>
      </c>
      <c r="X70" s="34" t="s">
        <v>54</v>
      </c>
      <c r="Y70" s="33">
        <v>32.15</v>
      </c>
      <c r="Z70" s="37"/>
      <c r="AA70" s="36"/>
      <c r="AC70" s="28">
        <v>64.29</v>
      </c>
      <c r="AD70" s="34" t="s">
        <v>54</v>
      </c>
      <c r="AE70" s="33">
        <v>32.15</v>
      </c>
      <c r="AN70" s="7" t="s">
        <v>54</v>
      </c>
      <c r="AO70" s="7" t="s">
        <v>55</v>
      </c>
      <c r="AP70" s="7" t="s">
        <v>56</v>
      </c>
      <c r="AT70" s="47" t="s">
        <v>57</v>
      </c>
      <c r="AU70" s="47" t="s">
        <v>57</v>
      </c>
    </row>
    <row r="71" spans="1:47">
      <c r="A71" s="4" t="s">
        <v>48</v>
      </c>
      <c r="C71" s="21"/>
      <c r="D71" s="22" t="s">
        <v>49</v>
      </c>
      <c r="G71" s="23">
        <v>45097</v>
      </c>
      <c r="H71" s="24" t="s">
        <v>260</v>
      </c>
      <c r="I71" s="29"/>
      <c r="J71" s="28" t="s">
        <v>51</v>
      </c>
      <c r="L71" s="24" t="s">
        <v>261</v>
      </c>
      <c r="M71" s="1" t="str">
        <f>"132825196402140014"</f>
        <v>132825196402140014</v>
      </c>
      <c r="N71" s="24" t="s">
        <v>261</v>
      </c>
      <c r="O71" s="1" t="str">
        <f>"132825196402140014"</f>
        <v>132825196402140014</v>
      </c>
      <c r="P71" s="23" t="s">
        <v>262</v>
      </c>
      <c r="Q71" s="23">
        <v>45220</v>
      </c>
      <c r="R71" s="32">
        <v>45586</v>
      </c>
      <c r="V71" s="33">
        <v>100</v>
      </c>
      <c r="W71" s="28">
        <v>64.29</v>
      </c>
      <c r="X71" s="34" t="s">
        <v>54</v>
      </c>
      <c r="Y71" s="33">
        <v>64.29</v>
      </c>
      <c r="Z71" s="37"/>
      <c r="AA71" s="36"/>
      <c r="AC71" s="28">
        <v>64.29</v>
      </c>
      <c r="AD71" s="34" t="s">
        <v>54</v>
      </c>
      <c r="AE71" s="33">
        <v>64.29</v>
      </c>
      <c r="AN71" s="7" t="s">
        <v>54</v>
      </c>
      <c r="AO71" s="7" t="s">
        <v>55</v>
      </c>
      <c r="AP71" s="7" t="s">
        <v>56</v>
      </c>
      <c r="AT71" s="47" t="s">
        <v>57</v>
      </c>
      <c r="AU71" s="47" t="s">
        <v>57</v>
      </c>
    </row>
    <row r="72" spans="1:47">
      <c r="A72" s="4" t="s">
        <v>48</v>
      </c>
      <c r="C72" s="21"/>
      <c r="D72" s="22" t="s">
        <v>49</v>
      </c>
      <c r="G72" s="23">
        <v>45089</v>
      </c>
      <c r="H72" s="24" t="s">
        <v>263</v>
      </c>
      <c r="I72" s="29"/>
      <c r="J72" s="28" t="s">
        <v>51</v>
      </c>
      <c r="L72" s="24" t="s">
        <v>264</v>
      </c>
      <c r="M72" s="1" t="str">
        <f>"142623198310062626"</f>
        <v>142623198310062626</v>
      </c>
      <c r="N72" s="24" t="s">
        <v>264</v>
      </c>
      <c r="O72" s="1" t="str">
        <f>"142623198310062626"</f>
        <v>142623198310062626</v>
      </c>
      <c r="P72" s="23" t="s">
        <v>265</v>
      </c>
      <c r="Q72" s="23">
        <v>45200</v>
      </c>
      <c r="R72" s="32">
        <v>45566</v>
      </c>
      <c r="V72" s="33">
        <v>100</v>
      </c>
      <c r="W72" s="28">
        <v>64.29</v>
      </c>
      <c r="X72" s="34" t="s">
        <v>54</v>
      </c>
      <c r="Y72" s="33">
        <v>64.29</v>
      </c>
      <c r="Z72" s="37"/>
      <c r="AA72" s="36"/>
      <c r="AC72" s="28">
        <v>64.29</v>
      </c>
      <c r="AD72" s="34" t="s">
        <v>54</v>
      </c>
      <c r="AE72" s="33">
        <v>64.29</v>
      </c>
      <c r="AN72" s="7" t="s">
        <v>54</v>
      </c>
      <c r="AO72" s="7" t="s">
        <v>55</v>
      </c>
      <c r="AP72" s="7" t="s">
        <v>56</v>
      </c>
      <c r="AT72" s="47" t="s">
        <v>57</v>
      </c>
      <c r="AU72" s="47" t="s">
        <v>57</v>
      </c>
    </row>
    <row r="73" spans="1:47">
      <c r="A73" s="4" t="s">
        <v>48</v>
      </c>
      <c r="C73" s="21"/>
      <c r="D73" s="22" t="s">
        <v>49</v>
      </c>
      <c r="G73" s="23">
        <v>45075</v>
      </c>
      <c r="H73" s="24" t="s">
        <v>266</v>
      </c>
      <c r="I73" s="29"/>
      <c r="J73" s="28" t="s">
        <v>51</v>
      </c>
      <c r="L73" s="24" t="s">
        <v>267</v>
      </c>
      <c r="M73" s="1" t="str">
        <f>"140203198604200431"</f>
        <v>140203198604200431</v>
      </c>
      <c r="N73" s="24" t="s">
        <v>267</v>
      </c>
      <c r="O73" s="1" t="str">
        <f>"140203198604200431"</f>
        <v>140203198604200431</v>
      </c>
      <c r="P73" s="23" t="s">
        <v>268</v>
      </c>
      <c r="Q73" s="23">
        <v>45286</v>
      </c>
      <c r="R73" s="32">
        <v>45652</v>
      </c>
      <c r="V73" s="33">
        <v>100</v>
      </c>
      <c r="W73" s="28">
        <v>64.29</v>
      </c>
      <c r="X73" s="34" t="s">
        <v>54</v>
      </c>
      <c r="Y73" s="33">
        <v>64.29</v>
      </c>
      <c r="Z73" s="37"/>
      <c r="AA73" s="36"/>
      <c r="AC73" s="28">
        <v>64.29</v>
      </c>
      <c r="AD73" s="34" t="s">
        <v>54</v>
      </c>
      <c r="AE73" s="33">
        <v>64.29</v>
      </c>
      <c r="AN73" s="7" t="s">
        <v>54</v>
      </c>
      <c r="AO73" s="7" t="s">
        <v>55</v>
      </c>
      <c r="AP73" s="7" t="s">
        <v>56</v>
      </c>
      <c r="AT73" s="47" t="s">
        <v>57</v>
      </c>
      <c r="AU73" s="47" t="s">
        <v>57</v>
      </c>
    </row>
    <row r="74" spans="1:47">
      <c r="A74" s="4" t="s">
        <v>48</v>
      </c>
      <c r="C74" s="21"/>
      <c r="D74" s="22" t="s">
        <v>49</v>
      </c>
      <c r="G74" s="23">
        <v>45076</v>
      </c>
      <c r="H74" s="24" t="s">
        <v>269</v>
      </c>
      <c r="I74" s="29"/>
      <c r="J74" s="28" t="s">
        <v>51</v>
      </c>
      <c r="L74" s="24" t="s">
        <v>270</v>
      </c>
      <c r="M74" s="1" t="str">
        <f>"130683198902125013"</f>
        <v>130683198902125013</v>
      </c>
      <c r="N74" s="24" t="s">
        <v>270</v>
      </c>
      <c r="O74" s="1" t="str">
        <f>"130683198902125013"</f>
        <v>130683198902125013</v>
      </c>
      <c r="P74" s="23" t="s">
        <v>271</v>
      </c>
      <c r="Q74" s="23">
        <v>45287</v>
      </c>
      <c r="R74" s="32">
        <v>45653</v>
      </c>
      <c r="V74" s="33">
        <v>100</v>
      </c>
      <c r="W74" s="28">
        <v>64.29</v>
      </c>
      <c r="X74" s="34" t="s">
        <v>54</v>
      </c>
      <c r="Y74" s="33">
        <v>64.29</v>
      </c>
      <c r="Z74" s="37"/>
      <c r="AA74" s="36"/>
      <c r="AC74" s="28">
        <v>64.29</v>
      </c>
      <c r="AD74" s="34" t="s">
        <v>54</v>
      </c>
      <c r="AE74" s="33">
        <v>64.29</v>
      </c>
      <c r="AN74" s="7" t="s">
        <v>54</v>
      </c>
      <c r="AO74" s="7" t="s">
        <v>55</v>
      </c>
      <c r="AP74" s="7" t="s">
        <v>56</v>
      </c>
      <c r="AT74" s="47" t="s">
        <v>57</v>
      </c>
      <c r="AU74" s="47" t="s">
        <v>57</v>
      </c>
    </row>
    <row r="75" spans="1:47">
      <c r="A75" s="4" t="s">
        <v>48</v>
      </c>
      <c r="C75" s="21"/>
      <c r="D75" s="22" t="s">
        <v>49</v>
      </c>
      <c r="G75" s="23">
        <v>45075</v>
      </c>
      <c r="H75" s="24" t="s">
        <v>272</v>
      </c>
      <c r="I75" s="29"/>
      <c r="J75" s="28" t="s">
        <v>51</v>
      </c>
      <c r="L75" s="24" t="s">
        <v>273</v>
      </c>
      <c r="M75" s="1" t="str">
        <f>"133025198209106726"</f>
        <v>133025198209106726</v>
      </c>
      <c r="N75" s="24" t="s">
        <v>273</v>
      </c>
      <c r="O75" s="1" t="str">
        <f>"133025198209106726"</f>
        <v>133025198209106726</v>
      </c>
      <c r="P75" s="23" t="s">
        <v>274</v>
      </c>
      <c r="Q75" s="23">
        <v>45199</v>
      </c>
      <c r="R75" s="32">
        <v>45565</v>
      </c>
      <c r="V75" s="33">
        <v>100</v>
      </c>
      <c r="W75" s="28">
        <v>64.29</v>
      </c>
      <c r="X75" s="34" t="s">
        <v>54</v>
      </c>
      <c r="Y75" s="33">
        <v>64.29</v>
      </c>
      <c r="Z75" s="37"/>
      <c r="AA75" s="36"/>
      <c r="AC75" s="28">
        <v>64.29</v>
      </c>
      <c r="AD75" s="34" t="s">
        <v>54</v>
      </c>
      <c r="AE75" s="33">
        <v>64.29</v>
      </c>
      <c r="AN75" s="7" t="s">
        <v>54</v>
      </c>
      <c r="AO75" s="7" t="s">
        <v>55</v>
      </c>
      <c r="AP75" s="7" t="s">
        <v>56</v>
      </c>
      <c r="AT75" s="47" t="s">
        <v>57</v>
      </c>
      <c r="AU75" s="47" t="s">
        <v>57</v>
      </c>
    </row>
    <row r="76" spans="1:47">
      <c r="A76" s="4" t="s">
        <v>48</v>
      </c>
      <c r="C76" s="21"/>
      <c r="D76" s="22" t="s">
        <v>49</v>
      </c>
      <c r="G76" s="23">
        <v>45092</v>
      </c>
      <c r="H76" s="24" t="s">
        <v>275</v>
      </c>
      <c r="I76" s="29"/>
      <c r="J76" s="28" t="s">
        <v>51</v>
      </c>
      <c r="L76" s="24" t="s">
        <v>276</v>
      </c>
      <c r="M76" s="1" t="str">
        <f>"37068319920420221X"</f>
        <v>37068319920420221X</v>
      </c>
      <c r="N76" s="24" t="s">
        <v>276</v>
      </c>
      <c r="O76" s="1" t="str">
        <f>"37068319920420221X"</f>
        <v>37068319920420221X</v>
      </c>
      <c r="P76" s="23" t="s">
        <v>277</v>
      </c>
      <c r="Q76" s="23">
        <v>45093</v>
      </c>
      <c r="R76" s="32">
        <v>45459</v>
      </c>
      <c r="V76" s="33">
        <v>600</v>
      </c>
      <c r="W76" s="28">
        <v>64.29</v>
      </c>
      <c r="X76" s="34" t="s">
        <v>54</v>
      </c>
      <c r="Y76" s="33">
        <v>385.74</v>
      </c>
      <c r="Z76" s="37"/>
      <c r="AA76" s="36"/>
      <c r="AC76" s="28">
        <v>64.29</v>
      </c>
      <c r="AD76" s="34" t="s">
        <v>54</v>
      </c>
      <c r="AE76" s="33">
        <v>385.74</v>
      </c>
      <c r="AN76" s="7" t="s">
        <v>54</v>
      </c>
      <c r="AO76" s="7" t="s">
        <v>55</v>
      </c>
      <c r="AP76" s="7" t="s">
        <v>56</v>
      </c>
      <c r="AT76" s="47" t="s">
        <v>57</v>
      </c>
      <c r="AU76" s="47" t="s">
        <v>57</v>
      </c>
    </row>
    <row r="77" spans="1:47">
      <c r="A77" s="4" t="s">
        <v>48</v>
      </c>
      <c r="C77" s="21"/>
      <c r="D77" s="22" t="s">
        <v>49</v>
      </c>
      <c r="G77" s="23">
        <v>45092</v>
      </c>
      <c r="H77" s="24" t="s">
        <v>278</v>
      </c>
      <c r="I77" s="29"/>
      <c r="J77" s="28" t="s">
        <v>51</v>
      </c>
      <c r="L77" s="24" t="s">
        <v>279</v>
      </c>
      <c r="M77" s="1" t="str">
        <f>"131023198709052838"</f>
        <v>131023198709052838</v>
      </c>
      <c r="N77" s="24" t="s">
        <v>279</v>
      </c>
      <c r="O77" s="1" t="str">
        <f>"131023198709052838"</f>
        <v>131023198709052838</v>
      </c>
      <c r="P77" s="23" t="s">
        <v>280</v>
      </c>
      <c r="Q77" s="23">
        <v>45093</v>
      </c>
      <c r="R77" s="32">
        <v>45459</v>
      </c>
      <c r="V77" s="33">
        <v>600</v>
      </c>
      <c r="W77" s="28">
        <v>64.29</v>
      </c>
      <c r="X77" s="34" t="s">
        <v>54</v>
      </c>
      <c r="Y77" s="33">
        <v>385.74</v>
      </c>
      <c r="Z77" s="37"/>
      <c r="AA77" s="36"/>
      <c r="AC77" s="28">
        <v>64.29</v>
      </c>
      <c r="AD77" s="34" t="s">
        <v>54</v>
      </c>
      <c r="AE77" s="33">
        <v>385.74</v>
      </c>
      <c r="AN77" s="7" t="s">
        <v>54</v>
      </c>
      <c r="AO77" s="7" t="s">
        <v>55</v>
      </c>
      <c r="AP77" s="7" t="s">
        <v>56</v>
      </c>
      <c r="AT77" s="47" t="s">
        <v>57</v>
      </c>
      <c r="AU77" s="47" t="s">
        <v>57</v>
      </c>
    </row>
    <row r="78" spans="1:47">
      <c r="A78" s="4" t="s">
        <v>48</v>
      </c>
      <c r="C78" s="21"/>
      <c r="D78" s="22" t="s">
        <v>49</v>
      </c>
      <c r="G78" s="23">
        <v>45087</v>
      </c>
      <c r="H78" s="24" t="s">
        <v>281</v>
      </c>
      <c r="I78" s="29"/>
      <c r="J78" s="28" t="s">
        <v>51</v>
      </c>
      <c r="L78" s="24" t="s">
        <v>282</v>
      </c>
      <c r="M78" s="1" t="str">
        <f>"132826197908164612"</f>
        <v>132826197908164612</v>
      </c>
      <c r="N78" s="24" t="s">
        <v>282</v>
      </c>
      <c r="O78" s="1" t="str">
        <f>"132826197908164612"</f>
        <v>132826197908164612</v>
      </c>
      <c r="P78" s="23" t="s">
        <v>283</v>
      </c>
      <c r="Q78" s="23">
        <v>45088</v>
      </c>
      <c r="R78" s="32">
        <v>45454</v>
      </c>
      <c r="V78" s="33">
        <v>50</v>
      </c>
      <c r="W78" s="28">
        <v>64.29</v>
      </c>
      <c r="X78" s="34" t="s">
        <v>54</v>
      </c>
      <c r="Y78" s="33">
        <v>32.15</v>
      </c>
      <c r="Z78" s="37"/>
      <c r="AA78" s="36"/>
      <c r="AC78" s="28">
        <v>64.29</v>
      </c>
      <c r="AD78" s="34" t="s">
        <v>54</v>
      </c>
      <c r="AE78" s="33">
        <v>32.15</v>
      </c>
      <c r="AN78" s="7" t="s">
        <v>54</v>
      </c>
      <c r="AO78" s="7" t="s">
        <v>55</v>
      </c>
      <c r="AP78" s="7" t="s">
        <v>56</v>
      </c>
      <c r="AT78" s="47" t="s">
        <v>57</v>
      </c>
      <c r="AU78" s="47" t="s">
        <v>57</v>
      </c>
    </row>
    <row r="79" spans="1:47">
      <c r="A79" s="4" t="s">
        <v>48</v>
      </c>
      <c r="C79" s="21"/>
      <c r="D79" s="22" t="s">
        <v>49</v>
      </c>
      <c r="G79" s="23">
        <v>45086</v>
      </c>
      <c r="H79" s="24" t="s">
        <v>284</v>
      </c>
      <c r="I79" s="29"/>
      <c r="J79" s="28" t="s">
        <v>51</v>
      </c>
      <c r="L79" s="24" t="s">
        <v>285</v>
      </c>
      <c r="M79" s="1" t="str">
        <f>"131082199010217111"</f>
        <v>131082199010217111</v>
      </c>
      <c r="N79" s="24" t="s">
        <v>285</v>
      </c>
      <c r="O79" s="1" t="str">
        <f>"131082199010217111"</f>
        <v>131082199010217111</v>
      </c>
      <c r="P79" s="23" t="s">
        <v>286</v>
      </c>
      <c r="Q79" s="23">
        <v>45087</v>
      </c>
      <c r="R79" s="32">
        <v>45453</v>
      </c>
      <c r="V79" s="33">
        <v>50</v>
      </c>
      <c r="W79" s="28">
        <v>64.29</v>
      </c>
      <c r="X79" s="34" t="s">
        <v>54</v>
      </c>
      <c r="Y79" s="33">
        <v>32.15</v>
      </c>
      <c r="Z79" s="37"/>
      <c r="AA79" s="36"/>
      <c r="AC79" s="28">
        <v>64.29</v>
      </c>
      <c r="AD79" s="34" t="s">
        <v>54</v>
      </c>
      <c r="AE79" s="33">
        <v>32.15</v>
      </c>
      <c r="AN79" s="7" t="s">
        <v>54</v>
      </c>
      <c r="AO79" s="7" t="s">
        <v>55</v>
      </c>
      <c r="AP79" s="7" t="s">
        <v>56</v>
      </c>
      <c r="AT79" s="47" t="s">
        <v>57</v>
      </c>
      <c r="AU79" s="47" t="s">
        <v>57</v>
      </c>
    </row>
    <row r="80" spans="1:47">
      <c r="A80" s="4" t="s">
        <v>48</v>
      </c>
      <c r="C80" s="21"/>
      <c r="D80" s="22" t="s">
        <v>49</v>
      </c>
      <c r="G80" s="23">
        <v>45096</v>
      </c>
      <c r="H80" s="24" t="s">
        <v>287</v>
      </c>
      <c r="I80" s="29"/>
      <c r="J80" s="28" t="s">
        <v>51</v>
      </c>
      <c r="L80" s="24" t="s">
        <v>288</v>
      </c>
      <c r="M80" s="1" t="str">
        <f>"341202198205121711"</f>
        <v>341202198205121711</v>
      </c>
      <c r="N80" s="24" t="s">
        <v>288</v>
      </c>
      <c r="O80" s="1" t="str">
        <f>"341202198205121711"</f>
        <v>341202198205121711</v>
      </c>
      <c r="P80" s="23" t="s">
        <v>289</v>
      </c>
      <c r="Q80" s="23">
        <v>45097</v>
      </c>
      <c r="R80" s="32">
        <v>45463</v>
      </c>
      <c r="V80" s="33">
        <v>100</v>
      </c>
      <c r="W80" s="28">
        <v>64.29</v>
      </c>
      <c r="X80" s="34" t="s">
        <v>54</v>
      </c>
      <c r="Y80" s="33">
        <v>64.29</v>
      </c>
      <c r="Z80" s="37"/>
      <c r="AA80" s="36"/>
      <c r="AC80" s="28">
        <v>64.29</v>
      </c>
      <c r="AD80" s="34" t="s">
        <v>54</v>
      </c>
      <c r="AE80" s="33">
        <v>64.29</v>
      </c>
      <c r="AN80" s="7" t="s">
        <v>54</v>
      </c>
      <c r="AO80" s="7" t="s">
        <v>55</v>
      </c>
      <c r="AP80" s="7" t="s">
        <v>56</v>
      </c>
      <c r="AT80" s="47" t="s">
        <v>57</v>
      </c>
      <c r="AU80" s="47" t="s">
        <v>57</v>
      </c>
    </row>
    <row r="81" spans="1:47">
      <c r="A81" s="4" t="s">
        <v>48</v>
      </c>
      <c r="C81" s="21"/>
      <c r="D81" s="22" t="s">
        <v>49</v>
      </c>
      <c r="G81" s="23">
        <v>45097</v>
      </c>
      <c r="H81" s="24" t="s">
        <v>290</v>
      </c>
      <c r="I81" s="29"/>
      <c r="J81" s="28" t="s">
        <v>51</v>
      </c>
      <c r="L81" s="24" t="s">
        <v>291</v>
      </c>
      <c r="M81" s="1" t="str">
        <f>"412722198302026582"</f>
        <v>412722198302026582</v>
      </c>
      <c r="N81" s="24" t="s">
        <v>291</v>
      </c>
      <c r="O81" s="1" t="str">
        <f>"412722198302026582"</f>
        <v>412722198302026582</v>
      </c>
      <c r="P81" s="23" t="s">
        <v>292</v>
      </c>
      <c r="Q81" s="23">
        <v>45098</v>
      </c>
      <c r="R81" s="32">
        <v>45464</v>
      </c>
      <c r="V81" s="33">
        <v>100</v>
      </c>
      <c r="W81" s="28">
        <v>64.29</v>
      </c>
      <c r="X81" s="34" t="s">
        <v>54</v>
      </c>
      <c r="Y81" s="33">
        <v>64.29</v>
      </c>
      <c r="Z81" s="37"/>
      <c r="AA81" s="36"/>
      <c r="AC81" s="28">
        <v>64.29</v>
      </c>
      <c r="AD81" s="34" t="s">
        <v>54</v>
      </c>
      <c r="AE81" s="33">
        <v>64.29</v>
      </c>
      <c r="AN81" s="7" t="s">
        <v>54</v>
      </c>
      <c r="AO81" s="7" t="s">
        <v>55</v>
      </c>
      <c r="AP81" s="7" t="s">
        <v>56</v>
      </c>
      <c r="AT81" s="47" t="s">
        <v>57</v>
      </c>
      <c r="AU81" s="47" t="s">
        <v>57</v>
      </c>
    </row>
    <row r="82" spans="1:47">
      <c r="A82" s="4" t="s">
        <v>48</v>
      </c>
      <c r="C82" s="21"/>
      <c r="D82" s="22" t="s">
        <v>49</v>
      </c>
      <c r="G82" s="23">
        <v>45096</v>
      </c>
      <c r="H82" s="24" t="s">
        <v>293</v>
      </c>
      <c r="I82" s="29"/>
      <c r="J82" s="28" t="s">
        <v>51</v>
      </c>
      <c r="L82" s="24" t="s">
        <v>294</v>
      </c>
      <c r="M82" s="1" t="str">
        <f>"341202197510081512"</f>
        <v>341202197510081512</v>
      </c>
      <c r="N82" s="24" t="s">
        <v>294</v>
      </c>
      <c r="O82" s="1" t="str">
        <f>"341202197510081512"</f>
        <v>341202197510081512</v>
      </c>
      <c r="P82" s="23" t="s">
        <v>295</v>
      </c>
      <c r="Q82" s="23">
        <v>45097</v>
      </c>
      <c r="R82" s="32">
        <v>45463</v>
      </c>
      <c r="V82" s="33">
        <v>100</v>
      </c>
      <c r="W82" s="28">
        <v>64.29</v>
      </c>
      <c r="X82" s="34" t="s">
        <v>54</v>
      </c>
      <c r="Y82" s="33">
        <v>64.29</v>
      </c>
      <c r="Z82" s="37"/>
      <c r="AA82" s="36"/>
      <c r="AC82" s="28">
        <v>64.29</v>
      </c>
      <c r="AD82" s="34" t="s">
        <v>54</v>
      </c>
      <c r="AE82" s="33">
        <v>64.29</v>
      </c>
      <c r="AN82" s="7" t="s">
        <v>54</v>
      </c>
      <c r="AO82" s="7" t="s">
        <v>55</v>
      </c>
      <c r="AP82" s="7" t="s">
        <v>56</v>
      </c>
      <c r="AT82" s="47" t="s">
        <v>57</v>
      </c>
      <c r="AU82" s="47" t="s">
        <v>57</v>
      </c>
    </row>
    <row r="83" spans="1:47">
      <c r="A83" s="4" t="s">
        <v>48</v>
      </c>
      <c r="C83" s="21"/>
      <c r="D83" s="22" t="s">
        <v>49</v>
      </c>
      <c r="G83" s="23">
        <v>45096</v>
      </c>
      <c r="H83" s="24" t="s">
        <v>296</v>
      </c>
      <c r="I83" s="29"/>
      <c r="J83" s="28" t="s">
        <v>51</v>
      </c>
      <c r="L83" s="24" t="s">
        <v>297</v>
      </c>
      <c r="M83" s="1" t="str">
        <f>"131082197502211518"</f>
        <v>131082197502211518</v>
      </c>
      <c r="N83" s="24" t="s">
        <v>297</v>
      </c>
      <c r="O83" s="1" t="str">
        <f>"131082197502211518"</f>
        <v>131082197502211518</v>
      </c>
      <c r="P83" s="23" t="s">
        <v>298</v>
      </c>
      <c r="Q83" s="23">
        <v>45097</v>
      </c>
      <c r="R83" s="32">
        <v>45463</v>
      </c>
      <c r="V83" s="33">
        <v>100</v>
      </c>
      <c r="W83" s="28">
        <v>64.29</v>
      </c>
      <c r="X83" s="34" t="s">
        <v>54</v>
      </c>
      <c r="Y83" s="33">
        <v>64.29</v>
      </c>
      <c r="Z83" s="37"/>
      <c r="AA83" s="36"/>
      <c r="AC83" s="28">
        <v>64.29</v>
      </c>
      <c r="AD83" s="34" t="s">
        <v>54</v>
      </c>
      <c r="AE83" s="33">
        <v>64.29</v>
      </c>
      <c r="AN83" s="7" t="s">
        <v>54</v>
      </c>
      <c r="AO83" s="7" t="s">
        <v>55</v>
      </c>
      <c r="AP83" s="7" t="s">
        <v>56</v>
      </c>
      <c r="AT83" s="47" t="s">
        <v>57</v>
      </c>
      <c r="AU83" s="47" t="s">
        <v>57</v>
      </c>
    </row>
    <row r="84" spans="1:47">
      <c r="A84" s="4" t="s">
        <v>48</v>
      </c>
      <c r="C84" s="21"/>
      <c r="D84" s="22" t="s">
        <v>49</v>
      </c>
      <c r="G84" s="23">
        <v>45096</v>
      </c>
      <c r="H84" s="24" t="s">
        <v>299</v>
      </c>
      <c r="I84" s="29"/>
      <c r="J84" s="28" t="s">
        <v>51</v>
      </c>
      <c r="L84" s="24" t="s">
        <v>300</v>
      </c>
      <c r="M84" s="1" t="str">
        <f>"341226199008284736"</f>
        <v>341226199008284736</v>
      </c>
      <c r="N84" s="24" t="s">
        <v>300</v>
      </c>
      <c r="O84" s="1" t="str">
        <f>"341226199008284736"</f>
        <v>341226199008284736</v>
      </c>
      <c r="P84" s="23" t="s">
        <v>301</v>
      </c>
      <c r="Q84" s="23">
        <v>45097</v>
      </c>
      <c r="R84" s="32">
        <v>45463</v>
      </c>
      <c r="V84" s="33">
        <v>100</v>
      </c>
      <c r="W84" s="28">
        <v>64.29</v>
      </c>
      <c r="X84" s="34" t="s">
        <v>54</v>
      </c>
      <c r="Y84" s="33">
        <v>64.29</v>
      </c>
      <c r="Z84" s="37"/>
      <c r="AA84" s="36"/>
      <c r="AC84" s="28">
        <v>64.29</v>
      </c>
      <c r="AD84" s="34" t="s">
        <v>54</v>
      </c>
      <c r="AE84" s="33">
        <v>64.29</v>
      </c>
      <c r="AN84" s="7" t="s">
        <v>54</v>
      </c>
      <c r="AO84" s="7" t="s">
        <v>55</v>
      </c>
      <c r="AP84" s="7" t="s">
        <v>56</v>
      </c>
      <c r="AT84" s="47" t="s">
        <v>57</v>
      </c>
      <c r="AU84" s="47" t="s">
        <v>57</v>
      </c>
    </row>
    <row r="85" spans="1:47">
      <c r="A85" s="4" t="s">
        <v>48</v>
      </c>
      <c r="C85" s="21"/>
      <c r="D85" s="22" t="s">
        <v>49</v>
      </c>
      <c r="G85" s="23">
        <v>45098</v>
      </c>
      <c r="H85" s="24" t="s">
        <v>302</v>
      </c>
      <c r="I85" s="29"/>
      <c r="J85" s="28" t="s">
        <v>51</v>
      </c>
      <c r="L85" s="24" t="s">
        <v>303</v>
      </c>
      <c r="M85" s="1" t="str">
        <f>"34212219720610002X"</f>
        <v>34212219720610002X</v>
      </c>
      <c r="N85" s="24" t="s">
        <v>303</v>
      </c>
      <c r="O85" s="1" t="str">
        <f>"34212219720610002X"</f>
        <v>34212219720610002X</v>
      </c>
      <c r="P85" s="23" t="s">
        <v>304</v>
      </c>
      <c r="Q85" s="23">
        <v>45099</v>
      </c>
      <c r="R85" s="32">
        <v>45465</v>
      </c>
      <c r="V85" s="33">
        <v>100</v>
      </c>
      <c r="W85" s="28">
        <v>64.29</v>
      </c>
      <c r="X85" s="34" t="s">
        <v>54</v>
      </c>
      <c r="Y85" s="33">
        <v>64.29</v>
      </c>
      <c r="Z85" s="37"/>
      <c r="AA85" s="36"/>
      <c r="AC85" s="28">
        <v>64.29</v>
      </c>
      <c r="AD85" s="34" t="s">
        <v>54</v>
      </c>
      <c r="AE85" s="33">
        <v>64.29</v>
      </c>
      <c r="AN85" s="7" t="s">
        <v>54</v>
      </c>
      <c r="AO85" s="7" t="s">
        <v>55</v>
      </c>
      <c r="AP85" s="7" t="s">
        <v>56</v>
      </c>
      <c r="AT85" s="47" t="s">
        <v>57</v>
      </c>
      <c r="AU85" s="47" t="s">
        <v>57</v>
      </c>
    </row>
    <row r="86" spans="1:47">
      <c r="A86" s="4" t="s">
        <v>48</v>
      </c>
      <c r="C86" s="21"/>
      <c r="D86" s="22" t="s">
        <v>49</v>
      </c>
      <c r="G86" s="23">
        <v>45097</v>
      </c>
      <c r="H86" s="24" t="s">
        <v>305</v>
      </c>
      <c r="I86" s="29"/>
      <c r="J86" s="28" t="s">
        <v>51</v>
      </c>
      <c r="L86" s="24" t="s">
        <v>306</v>
      </c>
      <c r="M86" s="1" t="str">
        <f>"500107199005241620"</f>
        <v>500107199005241620</v>
      </c>
      <c r="N86" s="24" t="s">
        <v>306</v>
      </c>
      <c r="O86" s="1" t="str">
        <f>"500107199005241620"</f>
        <v>500107199005241620</v>
      </c>
      <c r="P86" s="23" t="s">
        <v>307</v>
      </c>
      <c r="Q86" s="23">
        <v>45170</v>
      </c>
      <c r="R86" s="32">
        <v>45536</v>
      </c>
      <c r="V86" s="33">
        <v>100</v>
      </c>
      <c r="W86" s="28">
        <v>64.29</v>
      </c>
      <c r="X86" s="34" t="s">
        <v>54</v>
      </c>
      <c r="Y86" s="33">
        <v>64.29</v>
      </c>
      <c r="Z86" s="37"/>
      <c r="AA86" s="36"/>
      <c r="AC86" s="28">
        <v>64.29</v>
      </c>
      <c r="AD86" s="34" t="s">
        <v>54</v>
      </c>
      <c r="AE86" s="33">
        <v>64.29</v>
      </c>
      <c r="AN86" s="7" t="s">
        <v>54</v>
      </c>
      <c r="AO86" s="7" t="s">
        <v>55</v>
      </c>
      <c r="AP86" s="7" t="s">
        <v>56</v>
      </c>
      <c r="AT86" s="47" t="s">
        <v>57</v>
      </c>
      <c r="AU86" s="47" t="s">
        <v>57</v>
      </c>
    </row>
    <row r="87" spans="1:47">
      <c r="A87" s="4" t="s">
        <v>48</v>
      </c>
      <c r="C87" s="21"/>
      <c r="D87" s="22" t="s">
        <v>49</v>
      </c>
      <c r="G87" s="23">
        <v>45090</v>
      </c>
      <c r="H87" s="24" t="s">
        <v>308</v>
      </c>
      <c r="I87" s="29"/>
      <c r="J87" s="28" t="s">
        <v>51</v>
      </c>
      <c r="L87" s="24" t="s">
        <v>309</v>
      </c>
      <c r="M87" s="1" t="str">
        <f>"342221198107202569"</f>
        <v>342221198107202569</v>
      </c>
      <c r="N87" s="24" t="s">
        <v>309</v>
      </c>
      <c r="O87" s="1" t="str">
        <f>"342221198107202569"</f>
        <v>342221198107202569</v>
      </c>
      <c r="P87" s="23" t="s">
        <v>310</v>
      </c>
      <c r="Q87" s="23">
        <v>45275</v>
      </c>
      <c r="R87" s="32">
        <v>45641</v>
      </c>
      <c r="V87" s="33">
        <v>100</v>
      </c>
      <c r="W87" s="28">
        <v>64.29</v>
      </c>
      <c r="X87" s="34" t="s">
        <v>54</v>
      </c>
      <c r="Y87" s="33">
        <v>64.29</v>
      </c>
      <c r="Z87" s="37"/>
      <c r="AA87" s="36"/>
      <c r="AC87" s="28">
        <v>64.29</v>
      </c>
      <c r="AD87" s="34" t="s">
        <v>54</v>
      </c>
      <c r="AE87" s="33">
        <v>64.29</v>
      </c>
      <c r="AN87" s="7" t="s">
        <v>54</v>
      </c>
      <c r="AO87" s="7" t="s">
        <v>55</v>
      </c>
      <c r="AP87" s="7" t="s">
        <v>56</v>
      </c>
      <c r="AT87" s="47" t="s">
        <v>57</v>
      </c>
      <c r="AU87" s="47" t="s">
        <v>57</v>
      </c>
    </row>
    <row r="88" spans="1:47">
      <c r="A88" s="4" t="s">
        <v>48</v>
      </c>
      <c r="C88" s="21"/>
      <c r="D88" s="22" t="s">
        <v>49</v>
      </c>
      <c r="G88" s="23">
        <v>45089</v>
      </c>
      <c r="H88" s="24" t="s">
        <v>311</v>
      </c>
      <c r="I88" s="29"/>
      <c r="J88" s="28" t="s">
        <v>51</v>
      </c>
      <c r="L88" s="24" t="s">
        <v>312</v>
      </c>
      <c r="M88" s="1" t="str">
        <f>"341226197506066126"</f>
        <v>341226197506066126</v>
      </c>
      <c r="N88" s="24" t="s">
        <v>312</v>
      </c>
      <c r="O88" s="1" t="str">
        <f>"341226197506066126"</f>
        <v>341226197506066126</v>
      </c>
      <c r="P88" s="23" t="s">
        <v>313</v>
      </c>
      <c r="Q88" s="23">
        <v>45090</v>
      </c>
      <c r="R88" s="32">
        <v>45456</v>
      </c>
      <c r="V88" s="33">
        <v>100</v>
      </c>
      <c r="W88" s="28">
        <v>64.29</v>
      </c>
      <c r="X88" s="34" t="s">
        <v>54</v>
      </c>
      <c r="Y88" s="33">
        <v>64.29</v>
      </c>
      <c r="Z88" s="37"/>
      <c r="AA88" s="36"/>
      <c r="AC88" s="28">
        <v>64.29</v>
      </c>
      <c r="AD88" s="34" t="s">
        <v>54</v>
      </c>
      <c r="AE88" s="33">
        <v>64.29</v>
      </c>
      <c r="AN88" s="7" t="s">
        <v>54</v>
      </c>
      <c r="AO88" s="7" t="s">
        <v>55</v>
      </c>
      <c r="AP88" s="7" t="s">
        <v>56</v>
      </c>
      <c r="AT88" s="47" t="s">
        <v>57</v>
      </c>
      <c r="AU88" s="47" t="s">
        <v>57</v>
      </c>
    </row>
    <row r="89" spans="1:47">
      <c r="A89" s="4" t="s">
        <v>48</v>
      </c>
      <c r="C89" s="21"/>
      <c r="D89" s="22" t="s">
        <v>49</v>
      </c>
      <c r="G89" s="23">
        <v>45090</v>
      </c>
      <c r="H89" s="24" t="s">
        <v>314</v>
      </c>
      <c r="I89" s="29"/>
      <c r="J89" s="28" t="s">
        <v>51</v>
      </c>
      <c r="L89" s="24" t="s">
        <v>315</v>
      </c>
      <c r="M89" s="1" t="str">
        <f>"131082197709070265"</f>
        <v>131082197709070265</v>
      </c>
      <c r="N89" s="24" t="s">
        <v>315</v>
      </c>
      <c r="O89" s="1" t="str">
        <f>"131082197709070265"</f>
        <v>131082197709070265</v>
      </c>
      <c r="P89" s="23" t="s">
        <v>316</v>
      </c>
      <c r="Q89" s="23">
        <v>45183</v>
      </c>
      <c r="R89" s="32">
        <v>45549</v>
      </c>
      <c r="V89" s="33">
        <v>100</v>
      </c>
      <c r="W89" s="28">
        <v>64.29</v>
      </c>
      <c r="X89" s="34" t="s">
        <v>54</v>
      </c>
      <c r="Y89" s="33">
        <v>64.29</v>
      </c>
      <c r="Z89" s="37"/>
      <c r="AA89" s="36"/>
      <c r="AC89" s="28">
        <v>64.29</v>
      </c>
      <c r="AD89" s="34" t="s">
        <v>54</v>
      </c>
      <c r="AE89" s="33">
        <v>64.29</v>
      </c>
      <c r="AN89" s="7" t="s">
        <v>54</v>
      </c>
      <c r="AO89" s="7" t="s">
        <v>55</v>
      </c>
      <c r="AP89" s="7" t="s">
        <v>56</v>
      </c>
      <c r="AT89" s="47" t="s">
        <v>57</v>
      </c>
      <c r="AU89" s="47" t="s">
        <v>57</v>
      </c>
    </row>
    <row r="90" spans="1:47">
      <c r="A90" s="4" t="s">
        <v>48</v>
      </c>
      <c r="C90" s="21"/>
      <c r="D90" s="22" t="s">
        <v>49</v>
      </c>
      <c r="G90" s="23">
        <v>45073</v>
      </c>
      <c r="H90" s="24" t="s">
        <v>317</v>
      </c>
      <c r="I90" s="29"/>
      <c r="J90" s="28" t="s">
        <v>51</v>
      </c>
      <c r="L90" s="24" t="s">
        <v>318</v>
      </c>
      <c r="M90" s="1" t="str">
        <f>"34212219761120376X"</f>
        <v>34212219761120376X</v>
      </c>
      <c r="N90" s="24" t="s">
        <v>318</v>
      </c>
      <c r="O90" s="1" t="str">
        <f>"34212219761120376X"</f>
        <v>34212219761120376X</v>
      </c>
      <c r="P90" s="23" t="s">
        <v>319</v>
      </c>
      <c r="Q90" s="23">
        <v>45074</v>
      </c>
      <c r="R90" s="32">
        <v>45440</v>
      </c>
      <c r="V90" s="33">
        <v>100</v>
      </c>
      <c r="W90" s="28">
        <v>64.29</v>
      </c>
      <c r="X90" s="34" t="s">
        <v>54</v>
      </c>
      <c r="Y90" s="33">
        <v>64.29</v>
      </c>
      <c r="Z90" s="37"/>
      <c r="AA90" s="36"/>
      <c r="AC90" s="28">
        <v>64.29</v>
      </c>
      <c r="AD90" s="34" t="s">
        <v>54</v>
      </c>
      <c r="AE90" s="33">
        <v>64.29</v>
      </c>
      <c r="AN90" s="7" t="s">
        <v>54</v>
      </c>
      <c r="AO90" s="7" t="s">
        <v>55</v>
      </c>
      <c r="AP90" s="7" t="s">
        <v>56</v>
      </c>
      <c r="AT90" s="47" t="s">
        <v>57</v>
      </c>
      <c r="AU90" s="47" t="s">
        <v>57</v>
      </c>
    </row>
    <row r="91" spans="1:47">
      <c r="A91" s="4" t="s">
        <v>48</v>
      </c>
      <c r="C91" s="21"/>
      <c r="D91" s="22" t="s">
        <v>49</v>
      </c>
      <c r="G91" s="23">
        <v>45075</v>
      </c>
      <c r="H91" s="24" t="s">
        <v>320</v>
      </c>
      <c r="I91" s="29"/>
      <c r="J91" s="28" t="s">
        <v>51</v>
      </c>
      <c r="L91" s="24" t="s">
        <v>321</v>
      </c>
      <c r="M91" s="1" t="str">
        <f>"410881197605120516"</f>
        <v>410881197605120516</v>
      </c>
      <c r="N91" s="24" t="s">
        <v>321</v>
      </c>
      <c r="O91" s="1" t="str">
        <f>"410881197605120516"</f>
        <v>410881197605120516</v>
      </c>
      <c r="P91" s="23" t="s">
        <v>322</v>
      </c>
      <c r="Q91" s="23">
        <v>45076</v>
      </c>
      <c r="R91" s="32">
        <v>45442</v>
      </c>
      <c r="V91" s="33">
        <v>100</v>
      </c>
      <c r="W91" s="28">
        <v>64.29</v>
      </c>
      <c r="X91" s="34" t="s">
        <v>54</v>
      </c>
      <c r="Y91" s="33">
        <v>64.29</v>
      </c>
      <c r="Z91" s="37"/>
      <c r="AA91" s="36"/>
      <c r="AC91" s="28">
        <v>64.29</v>
      </c>
      <c r="AD91" s="34" t="s">
        <v>54</v>
      </c>
      <c r="AE91" s="33">
        <v>64.29</v>
      </c>
      <c r="AN91" s="7" t="s">
        <v>54</v>
      </c>
      <c r="AO91" s="7" t="s">
        <v>55</v>
      </c>
      <c r="AP91" s="7" t="s">
        <v>56</v>
      </c>
      <c r="AT91" s="47" t="s">
        <v>57</v>
      </c>
      <c r="AU91" s="47" t="s">
        <v>57</v>
      </c>
    </row>
    <row r="92" spans="1:47">
      <c r="A92" s="4" t="s">
        <v>48</v>
      </c>
      <c r="C92" s="21"/>
      <c r="D92" s="22" t="s">
        <v>49</v>
      </c>
      <c r="G92" s="23">
        <v>45075</v>
      </c>
      <c r="H92" s="24" t="s">
        <v>323</v>
      </c>
      <c r="I92" s="29"/>
      <c r="J92" s="28" t="s">
        <v>51</v>
      </c>
      <c r="L92" s="24" t="s">
        <v>324</v>
      </c>
      <c r="M92" s="1" t="str">
        <f>"341221199406080817"</f>
        <v>341221199406080817</v>
      </c>
      <c r="N92" s="24" t="s">
        <v>324</v>
      </c>
      <c r="O92" s="1" t="str">
        <f>"341221199406080817"</f>
        <v>341221199406080817</v>
      </c>
      <c r="P92" s="23" t="s">
        <v>325</v>
      </c>
      <c r="Q92" s="23">
        <v>45139</v>
      </c>
      <c r="R92" s="32">
        <v>45505</v>
      </c>
      <c r="V92" s="33">
        <v>100</v>
      </c>
      <c r="W92" s="28">
        <v>64.29</v>
      </c>
      <c r="X92" s="34" t="s">
        <v>54</v>
      </c>
      <c r="Y92" s="33">
        <v>64.29</v>
      </c>
      <c r="Z92" s="37"/>
      <c r="AA92" s="36"/>
      <c r="AC92" s="28">
        <v>64.29</v>
      </c>
      <c r="AD92" s="34" t="s">
        <v>54</v>
      </c>
      <c r="AE92" s="33">
        <v>64.29</v>
      </c>
      <c r="AN92" s="7" t="s">
        <v>54</v>
      </c>
      <c r="AO92" s="7" t="s">
        <v>55</v>
      </c>
      <c r="AP92" s="7" t="s">
        <v>56</v>
      </c>
      <c r="AT92" s="47" t="s">
        <v>57</v>
      </c>
      <c r="AU92" s="47" t="s">
        <v>57</v>
      </c>
    </row>
    <row r="93" spans="1:47">
      <c r="A93" s="4" t="s">
        <v>48</v>
      </c>
      <c r="C93" s="21"/>
      <c r="D93" s="22" t="s">
        <v>49</v>
      </c>
      <c r="G93" s="23">
        <v>45085</v>
      </c>
      <c r="H93" s="24" t="s">
        <v>326</v>
      </c>
      <c r="I93" s="29"/>
      <c r="J93" s="28" t="s">
        <v>51</v>
      </c>
      <c r="L93" s="24" t="s">
        <v>327</v>
      </c>
      <c r="M93" s="1" t="str">
        <f>"130223197711135814"</f>
        <v>130223197711135814</v>
      </c>
      <c r="N93" s="24" t="s">
        <v>327</v>
      </c>
      <c r="O93" s="1" t="str">
        <f>"130223197711135814"</f>
        <v>130223197711135814</v>
      </c>
      <c r="P93" s="23" t="s">
        <v>328</v>
      </c>
      <c r="Q93" s="23">
        <v>45086</v>
      </c>
      <c r="R93" s="32">
        <v>45452</v>
      </c>
      <c r="V93" s="33">
        <v>600</v>
      </c>
      <c r="W93" s="28">
        <v>64.29</v>
      </c>
      <c r="X93" s="34" t="s">
        <v>54</v>
      </c>
      <c r="Y93" s="33">
        <v>385.74</v>
      </c>
      <c r="Z93" s="37"/>
      <c r="AA93" s="36"/>
      <c r="AC93" s="28">
        <v>64.29</v>
      </c>
      <c r="AD93" s="34" t="s">
        <v>54</v>
      </c>
      <c r="AE93" s="33">
        <v>385.74</v>
      </c>
      <c r="AN93" s="7" t="s">
        <v>54</v>
      </c>
      <c r="AO93" s="7" t="s">
        <v>55</v>
      </c>
      <c r="AP93" s="7" t="s">
        <v>56</v>
      </c>
      <c r="AT93" s="47" t="s">
        <v>57</v>
      </c>
      <c r="AU93" s="47" t="s">
        <v>57</v>
      </c>
    </row>
    <row r="94" spans="1:47">
      <c r="A94" s="4" t="s">
        <v>48</v>
      </c>
      <c r="C94" s="21"/>
      <c r="D94" s="22" t="s">
        <v>49</v>
      </c>
      <c r="G94" s="23">
        <v>45085</v>
      </c>
      <c r="H94" s="24" t="s">
        <v>329</v>
      </c>
      <c r="I94" s="29"/>
      <c r="J94" s="28" t="s">
        <v>51</v>
      </c>
      <c r="L94" s="24" t="s">
        <v>330</v>
      </c>
      <c r="M94" s="1" t="str">
        <f>"150105198605250640"</f>
        <v>150105198605250640</v>
      </c>
      <c r="N94" s="24" t="s">
        <v>330</v>
      </c>
      <c r="O94" s="1" t="str">
        <f>"150105198605250640"</f>
        <v>150105198605250640</v>
      </c>
      <c r="P94" s="23" t="s">
        <v>331</v>
      </c>
      <c r="Q94" s="23">
        <v>45178</v>
      </c>
      <c r="R94" s="32">
        <v>45544</v>
      </c>
      <c r="V94" s="33">
        <v>600</v>
      </c>
      <c r="W94" s="28">
        <v>64.29</v>
      </c>
      <c r="X94" s="34" t="s">
        <v>54</v>
      </c>
      <c r="Y94" s="33">
        <v>385.74</v>
      </c>
      <c r="Z94" s="37"/>
      <c r="AA94" s="36"/>
      <c r="AC94" s="28">
        <v>64.29</v>
      </c>
      <c r="AD94" s="34" t="s">
        <v>54</v>
      </c>
      <c r="AE94" s="33">
        <v>385.74</v>
      </c>
      <c r="AN94" s="7" t="s">
        <v>54</v>
      </c>
      <c r="AO94" s="7" t="s">
        <v>55</v>
      </c>
      <c r="AP94" s="7" t="s">
        <v>56</v>
      </c>
      <c r="AT94" s="47" t="s">
        <v>57</v>
      </c>
      <c r="AU94" s="47" t="s">
        <v>57</v>
      </c>
    </row>
    <row r="95" spans="1:47">
      <c r="A95" s="4" t="s">
        <v>48</v>
      </c>
      <c r="C95" s="21"/>
      <c r="D95" s="22" t="s">
        <v>49</v>
      </c>
      <c r="G95" s="23">
        <v>45078</v>
      </c>
      <c r="H95" s="24" t="s">
        <v>332</v>
      </c>
      <c r="I95" s="29"/>
      <c r="J95" s="28" t="s">
        <v>51</v>
      </c>
      <c r="L95" s="24" t="s">
        <v>333</v>
      </c>
      <c r="M95" s="1" t="str">
        <f>"150122197505203523"</f>
        <v>150122197505203523</v>
      </c>
      <c r="N95" s="24" t="s">
        <v>333</v>
      </c>
      <c r="O95" s="1" t="str">
        <f>"150122197505203523"</f>
        <v>150122197505203523</v>
      </c>
      <c r="P95" s="23" t="s">
        <v>334</v>
      </c>
      <c r="Q95" s="23">
        <v>45177</v>
      </c>
      <c r="R95" s="32">
        <v>45543</v>
      </c>
      <c r="V95" s="33">
        <v>600</v>
      </c>
      <c r="W95" s="28">
        <v>64.29</v>
      </c>
      <c r="X95" s="34" t="s">
        <v>54</v>
      </c>
      <c r="Y95" s="33">
        <v>385.74</v>
      </c>
      <c r="Z95" s="37"/>
      <c r="AA95" s="36"/>
      <c r="AC95" s="28">
        <v>64.29</v>
      </c>
      <c r="AD95" s="34" t="s">
        <v>54</v>
      </c>
      <c r="AE95" s="33">
        <v>385.74</v>
      </c>
      <c r="AN95" s="7" t="s">
        <v>54</v>
      </c>
      <c r="AO95" s="7" t="s">
        <v>55</v>
      </c>
      <c r="AP95" s="7" t="s">
        <v>56</v>
      </c>
      <c r="AT95" s="47" t="s">
        <v>57</v>
      </c>
      <c r="AU95" s="47" t="s">
        <v>57</v>
      </c>
    </row>
    <row r="96" spans="1:47">
      <c r="A96" s="4" t="s">
        <v>48</v>
      </c>
      <c r="C96" s="21"/>
      <c r="D96" s="22" t="s">
        <v>49</v>
      </c>
      <c r="G96" s="23">
        <v>45075</v>
      </c>
      <c r="H96" s="24" t="s">
        <v>335</v>
      </c>
      <c r="I96" s="29"/>
      <c r="J96" s="28" t="s">
        <v>51</v>
      </c>
      <c r="L96" s="24" t="s">
        <v>336</v>
      </c>
      <c r="M96" s="1" t="str">
        <f>"13102419880407074X"</f>
        <v>13102419880407074X</v>
      </c>
      <c r="N96" s="24" t="s">
        <v>336</v>
      </c>
      <c r="O96" s="1" t="str">
        <f>"13102419880407074X"</f>
        <v>13102419880407074X</v>
      </c>
      <c r="P96" s="23" t="s">
        <v>337</v>
      </c>
      <c r="Q96" s="23">
        <v>45076</v>
      </c>
      <c r="R96" s="32">
        <v>45442</v>
      </c>
      <c r="V96" s="33">
        <v>600</v>
      </c>
      <c r="W96" s="28">
        <v>64.29</v>
      </c>
      <c r="X96" s="34" t="s">
        <v>54</v>
      </c>
      <c r="Y96" s="33">
        <v>385.74</v>
      </c>
      <c r="Z96" s="37"/>
      <c r="AA96" s="36"/>
      <c r="AC96" s="28">
        <v>64.29</v>
      </c>
      <c r="AD96" s="34" t="s">
        <v>54</v>
      </c>
      <c r="AE96" s="33">
        <v>385.74</v>
      </c>
      <c r="AN96" s="7" t="s">
        <v>54</v>
      </c>
      <c r="AO96" s="7" t="s">
        <v>55</v>
      </c>
      <c r="AP96" s="7" t="s">
        <v>56</v>
      </c>
      <c r="AT96" s="47" t="s">
        <v>57</v>
      </c>
      <c r="AU96" s="47" t="s">
        <v>57</v>
      </c>
    </row>
    <row r="97" spans="1:47">
      <c r="A97" s="4" t="s">
        <v>48</v>
      </c>
      <c r="C97" s="21"/>
      <c r="D97" s="22" t="s">
        <v>49</v>
      </c>
      <c r="G97" s="23">
        <v>45089</v>
      </c>
      <c r="H97" s="24" t="s">
        <v>338</v>
      </c>
      <c r="I97" s="29"/>
      <c r="J97" s="28" t="s">
        <v>51</v>
      </c>
      <c r="L97" s="24" t="s">
        <v>339</v>
      </c>
      <c r="M97" s="1" t="str">
        <f>"132235197610106624"</f>
        <v>132235197610106624</v>
      </c>
      <c r="N97" s="24" t="s">
        <v>339</v>
      </c>
      <c r="O97" s="1" t="str">
        <f>"132235197610106624"</f>
        <v>132235197610106624</v>
      </c>
      <c r="P97" s="23" t="s">
        <v>340</v>
      </c>
      <c r="Q97" s="23">
        <v>45090</v>
      </c>
      <c r="R97" s="32">
        <v>45456</v>
      </c>
      <c r="V97" s="33">
        <v>1000</v>
      </c>
      <c r="W97" s="28">
        <v>64.29</v>
      </c>
      <c r="X97" s="34" t="s">
        <v>54</v>
      </c>
      <c r="Y97" s="33">
        <v>642.9</v>
      </c>
      <c r="Z97" s="37"/>
      <c r="AA97" s="36"/>
      <c r="AC97" s="28">
        <v>64.29</v>
      </c>
      <c r="AD97" s="34" t="s">
        <v>54</v>
      </c>
      <c r="AE97" s="33">
        <v>642.9</v>
      </c>
      <c r="AN97" s="7" t="s">
        <v>54</v>
      </c>
      <c r="AO97" s="7" t="s">
        <v>55</v>
      </c>
      <c r="AP97" s="7" t="s">
        <v>56</v>
      </c>
      <c r="AT97" s="47" t="s">
        <v>57</v>
      </c>
      <c r="AU97" s="47" t="s">
        <v>57</v>
      </c>
    </row>
    <row r="98" spans="1:47">
      <c r="A98" s="4" t="s">
        <v>48</v>
      </c>
      <c r="C98" s="21"/>
      <c r="D98" s="22" t="s">
        <v>49</v>
      </c>
      <c r="G98" s="23">
        <v>45086</v>
      </c>
      <c r="H98" s="24" t="s">
        <v>341</v>
      </c>
      <c r="I98" s="29"/>
      <c r="J98" s="28" t="s">
        <v>51</v>
      </c>
      <c r="L98" s="24" t="s">
        <v>342</v>
      </c>
      <c r="M98" s="1" t="str">
        <f>"413026199307233620"</f>
        <v>413026199307233620</v>
      </c>
      <c r="N98" s="24" t="s">
        <v>342</v>
      </c>
      <c r="O98" s="1" t="str">
        <f>"413026199307233620"</f>
        <v>413026199307233620</v>
      </c>
      <c r="P98" s="23" t="s">
        <v>343</v>
      </c>
      <c r="Q98" s="23">
        <v>45087</v>
      </c>
      <c r="R98" s="32">
        <v>45453</v>
      </c>
      <c r="V98" s="33">
        <v>50</v>
      </c>
      <c r="W98" s="28">
        <v>64.29</v>
      </c>
      <c r="X98" s="34" t="s">
        <v>54</v>
      </c>
      <c r="Y98" s="33">
        <v>32.15</v>
      </c>
      <c r="Z98" s="37"/>
      <c r="AA98" s="36"/>
      <c r="AC98" s="28">
        <v>64.29</v>
      </c>
      <c r="AD98" s="34" t="s">
        <v>54</v>
      </c>
      <c r="AE98" s="33">
        <v>32.15</v>
      </c>
      <c r="AN98" s="7" t="s">
        <v>54</v>
      </c>
      <c r="AO98" s="7" t="s">
        <v>55</v>
      </c>
      <c r="AP98" s="7" t="s">
        <v>56</v>
      </c>
      <c r="AT98" s="47" t="s">
        <v>57</v>
      </c>
      <c r="AU98" s="47" t="s">
        <v>57</v>
      </c>
    </row>
    <row r="99" spans="1:47">
      <c r="A99" s="4" t="s">
        <v>48</v>
      </c>
      <c r="C99" s="21"/>
      <c r="D99" s="22" t="s">
        <v>49</v>
      </c>
      <c r="G99" s="23">
        <v>45085</v>
      </c>
      <c r="H99" s="24" t="s">
        <v>344</v>
      </c>
      <c r="I99" s="29"/>
      <c r="J99" s="28" t="s">
        <v>51</v>
      </c>
      <c r="L99" s="24" t="s">
        <v>345</v>
      </c>
      <c r="M99" s="1" t="str">
        <f>"120222198608040821"</f>
        <v>120222198608040821</v>
      </c>
      <c r="N99" s="24" t="s">
        <v>345</v>
      </c>
      <c r="O99" s="1" t="str">
        <f>"120222198608040821"</f>
        <v>120222198608040821</v>
      </c>
      <c r="P99" s="23" t="s">
        <v>346</v>
      </c>
      <c r="Q99" s="23">
        <v>45086</v>
      </c>
      <c r="R99" s="32">
        <v>45452</v>
      </c>
      <c r="V99" s="33">
        <v>50</v>
      </c>
      <c r="W99" s="28">
        <v>64.29</v>
      </c>
      <c r="X99" s="34" t="s">
        <v>54</v>
      </c>
      <c r="Y99" s="33">
        <v>32.15</v>
      </c>
      <c r="Z99" s="37"/>
      <c r="AA99" s="36"/>
      <c r="AC99" s="28">
        <v>64.29</v>
      </c>
      <c r="AD99" s="34" t="s">
        <v>54</v>
      </c>
      <c r="AE99" s="33">
        <v>32.15</v>
      </c>
      <c r="AN99" s="7" t="s">
        <v>54</v>
      </c>
      <c r="AO99" s="7" t="s">
        <v>55</v>
      </c>
      <c r="AP99" s="7" t="s">
        <v>56</v>
      </c>
      <c r="AT99" s="47" t="s">
        <v>57</v>
      </c>
      <c r="AU99" s="47" t="s">
        <v>57</v>
      </c>
    </row>
    <row r="100" spans="1:47">
      <c r="A100" s="4" t="s">
        <v>48</v>
      </c>
      <c r="C100" s="21"/>
      <c r="D100" s="22" t="s">
        <v>49</v>
      </c>
      <c r="G100" s="23">
        <v>45085</v>
      </c>
      <c r="H100" s="24" t="s">
        <v>347</v>
      </c>
      <c r="I100" s="29"/>
      <c r="J100" s="28" t="s">
        <v>51</v>
      </c>
      <c r="L100" s="24" t="s">
        <v>348</v>
      </c>
      <c r="M100" s="1" t="str">
        <f>"131082198704245817"</f>
        <v>131082198704245817</v>
      </c>
      <c r="N100" s="24" t="s">
        <v>348</v>
      </c>
      <c r="O100" s="1" t="str">
        <f>"131082198704245817"</f>
        <v>131082198704245817</v>
      </c>
      <c r="P100" s="23" t="s">
        <v>349</v>
      </c>
      <c r="Q100" s="23">
        <v>45086</v>
      </c>
      <c r="R100" s="32">
        <v>45452</v>
      </c>
      <c r="V100" s="33">
        <v>50</v>
      </c>
      <c r="W100" s="28">
        <v>64.29</v>
      </c>
      <c r="X100" s="34" t="s">
        <v>54</v>
      </c>
      <c r="Y100" s="33">
        <v>32.15</v>
      </c>
      <c r="Z100" s="37"/>
      <c r="AA100" s="36"/>
      <c r="AC100" s="28">
        <v>64.29</v>
      </c>
      <c r="AD100" s="34" t="s">
        <v>54</v>
      </c>
      <c r="AE100" s="33">
        <v>32.15</v>
      </c>
      <c r="AN100" s="7" t="s">
        <v>54</v>
      </c>
      <c r="AO100" s="7" t="s">
        <v>55</v>
      </c>
      <c r="AP100" s="7" t="s">
        <v>56</v>
      </c>
      <c r="AT100" s="47" t="s">
        <v>57</v>
      </c>
      <c r="AU100" s="47" t="s">
        <v>57</v>
      </c>
    </row>
    <row r="101" spans="1:47">
      <c r="A101" s="4" t="s">
        <v>48</v>
      </c>
      <c r="C101" s="21"/>
      <c r="D101" s="22" t="s">
        <v>49</v>
      </c>
      <c r="G101" s="23">
        <v>45087</v>
      </c>
      <c r="H101" s="24" t="s">
        <v>350</v>
      </c>
      <c r="I101" s="29"/>
      <c r="J101" s="28" t="s">
        <v>51</v>
      </c>
      <c r="L101" s="24" t="s">
        <v>351</v>
      </c>
      <c r="M101" s="1" t="str">
        <f>"130984198908010076"</f>
        <v>130984198908010076</v>
      </c>
      <c r="N101" s="24" t="s">
        <v>351</v>
      </c>
      <c r="O101" s="1" t="str">
        <f>"130984198908010076"</f>
        <v>130984198908010076</v>
      </c>
      <c r="P101" s="23" t="s">
        <v>352</v>
      </c>
      <c r="Q101" s="23">
        <v>45088</v>
      </c>
      <c r="R101" s="32">
        <v>45454</v>
      </c>
      <c r="V101" s="33">
        <v>50</v>
      </c>
      <c r="W101" s="28">
        <v>64.29</v>
      </c>
      <c r="X101" s="34" t="s">
        <v>54</v>
      </c>
      <c r="Y101" s="33">
        <v>32.15</v>
      </c>
      <c r="Z101" s="37"/>
      <c r="AA101" s="36"/>
      <c r="AC101" s="28">
        <v>64.29</v>
      </c>
      <c r="AD101" s="34" t="s">
        <v>54</v>
      </c>
      <c r="AE101" s="33">
        <v>32.15</v>
      </c>
      <c r="AN101" s="7" t="s">
        <v>54</v>
      </c>
      <c r="AO101" s="7" t="s">
        <v>55</v>
      </c>
      <c r="AP101" s="7" t="s">
        <v>56</v>
      </c>
      <c r="AT101" s="47" t="s">
        <v>57</v>
      </c>
      <c r="AU101" s="47" t="s">
        <v>57</v>
      </c>
    </row>
    <row r="102" spans="1:47">
      <c r="A102" s="4" t="s">
        <v>48</v>
      </c>
      <c r="C102" s="21"/>
      <c r="D102" s="22" t="s">
        <v>49</v>
      </c>
      <c r="G102" s="23">
        <v>45086</v>
      </c>
      <c r="H102" s="24" t="s">
        <v>353</v>
      </c>
      <c r="I102" s="29"/>
      <c r="J102" s="28" t="s">
        <v>51</v>
      </c>
      <c r="L102" s="24" t="s">
        <v>354</v>
      </c>
      <c r="M102" s="1" t="str">
        <f>"131024199505290720"</f>
        <v>131024199505290720</v>
      </c>
      <c r="N102" s="24" t="s">
        <v>354</v>
      </c>
      <c r="O102" s="1" t="str">
        <f>"131024199505290720"</f>
        <v>131024199505290720</v>
      </c>
      <c r="P102" s="23" t="s">
        <v>355</v>
      </c>
      <c r="Q102" s="23">
        <v>45087</v>
      </c>
      <c r="R102" s="32">
        <v>45453</v>
      </c>
      <c r="V102" s="33">
        <v>50</v>
      </c>
      <c r="W102" s="28">
        <v>64.29</v>
      </c>
      <c r="X102" s="34" t="s">
        <v>54</v>
      </c>
      <c r="Y102" s="33">
        <v>32.15</v>
      </c>
      <c r="Z102" s="37"/>
      <c r="AA102" s="36"/>
      <c r="AC102" s="28">
        <v>64.29</v>
      </c>
      <c r="AD102" s="34" t="s">
        <v>54</v>
      </c>
      <c r="AE102" s="33">
        <v>32.15</v>
      </c>
      <c r="AN102" s="7" t="s">
        <v>54</v>
      </c>
      <c r="AO102" s="7" t="s">
        <v>55</v>
      </c>
      <c r="AP102" s="7" t="s">
        <v>56</v>
      </c>
      <c r="AT102" s="47" t="s">
        <v>57</v>
      </c>
      <c r="AU102" s="47" t="s">
        <v>57</v>
      </c>
    </row>
    <row r="103" spans="1:47">
      <c r="A103" s="4" t="s">
        <v>48</v>
      </c>
      <c r="C103" s="21"/>
      <c r="D103" s="22" t="s">
        <v>49</v>
      </c>
      <c r="G103" s="23">
        <v>45085</v>
      </c>
      <c r="H103" s="24" t="s">
        <v>356</v>
      </c>
      <c r="I103" s="29"/>
      <c r="J103" s="28" t="s">
        <v>51</v>
      </c>
      <c r="L103" s="24" t="s">
        <v>357</v>
      </c>
      <c r="M103" s="1" t="str">
        <f>"412727197501225418"</f>
        <v>412727197501225418</v>
      </c>
      <c r="N103" s="24" t="s">
        <v>357</v>
      </c>
      <c r="O103" s="1" t="str">
        <f>"412727197501225418"</f>
        <v>412727197501225418</v>
      </c>
      <c r="P103" s="23" t="s">
        <v>358</v>
      </c>
      <c r="Q103" s="23">
        <v>45086</v>
      </c>
      <c r="R103" s="32">
        <v>45452</v>
      </c>
      <c r="V103" s="33">
        <v>50</v>
      </c>
      <c r="W103" s="28">
        <v>64.29</v>
      </c>
      <c r="X103" s="34" t="s">
        <v>54</v>
      </c>
      <c r="Y103" s="33">
        <v>32.15</v>
      </c>
      <c r="Z103" s="37"/>
      <c r="AA103" s="36"/>
      <c r="AC103" s="28">
        <v>64.29</v>
      </c>
      <c r="AD103" s="34" t="s">
        <v>54</v>
      </c>
      <c r="AE103" s="33">
        <v>32.15</v>
      </c>
      <c r="AN103" s="7" t="s">
        <v>54</v>
      </c>
      <c r="AO103" s="7" t="s">
        <v>55</v>
      </c>
      <c r="AP103" s="7" t="s">
        <v>56</v>
      </c>
      <c r="AT103" s="47" t="s">
        <v>57</v>
      </c>
      <c r="AU103" s="47" t="s">
        <v>57</v>
      </c>
    </row>
    <row r="104" spans="1:47">
      <c r="A104" s="4" t="s">
        <v>48</v>
      </c>
      <c r="C104" s="21"/>
      <c r="D104" s="22" t="s">
        <v>49</v>
      </c>
      <c r="G104" s="23">
        <v>45086</v>
      </c>
      <c r="H104" s="24" t="s">
        <v>359</v>
      </c>
      <c r="I104" s="29"/>
      <c r="J104" s="28" t="s">
        <v>51</v>
      </c>
      <c r="L104" s="24" t="s">
        <v>360</v>
      </c>
      <c r="M104" s="1" t="str">
        <f>"131082196208290425"</f>
        <v>131082196208290425</v>
      </c>
      <c r="N104" s="24" t="s">
        <v>360</v>
      </c>
      <c r="O104" s="1" t="str">
        <f>"131082196208290425"</f>
        <v>131082196208290425</v>
      </c>
      <c r="P104" s="23" t="s">
        <v>361</v>
      </c>
      <c r="Q104" s="23">
        <v>45087</v>
      </c>
      <c r="R104" s="32">
        <v>45453</v>
      </c>
      <c r="V104" s="33">
        <v>50</v>
      </c>
      <c r="W104" s="28">
        <v>64.29</v>
      </c>
      <c r="X104" s="34" t="s">
        <v>54</v>
      </c>
      <c r="Y104" s="33">
        <v>32.15</v>
      </c>
      <c r="Z104" s="37"/>
      <c r="AA104" s="36"/>
      <c r="AC104" s="28">
        <v>64.29</v>
      </c>
      <c r="AD104" s="34" t="s">
        <v>54</v>
      </c>
      <c r="AE104" s="33">
        <v>32.15</v>
      </c>
      <c r="AN104" s="7" t="s">
        <v>54</v>
      </c>
      <c r="AO104" s="7" t="s">
        <v>55</v>
      </c>
      <c r="AP104" s="7" t="s">
        <v>56</v>
      </c>
      <c r="AT104" s="47" t="s">
        <v>57</v>
      </c>
      <c r="AU104" s="47" t="s">
        <v>57</v>
      </c>
    </row>
    <row r="105" spans="1:47">
      <c r="A105" s="4" t="s">
        <v>48</v>
      </c>
      <c r="C105" s="21"/>
      <c r="D105" s="22" t="s">
        <v>49</v>
      </c>
      <c r="G105" s="23">
        <v>45096</v>
      </c>
      <c r="H105" s="24" t="s">
        <v>362</v>
      </c>
      <c r="I105" s="29"/>
      <c r="J105" s="28" t="s">
        <v>51</v>
      </c>
      <c r="L105" s="24" t="s">
        <v>363</v>
      </c>
      <c r="M105" s="1" t="str">
        <f>"132924194805240319"</f>
        <v>132924194805240319</v>
      </c>
      <c r="N105" s="24" t="s">
        <v>363</v>
      </c>
      <c r="O105" s="1" t="str">
        <f>"132924194805240319"</f>
        <v>132924194805240319</v>
      </c>
      <c r="P105" s="23" t="s">
        <v>364</v>
      </c>
      <c r="Q105" s="23">
        <v>45219</v>
      </c>
      <c r="R105" s="32">
        <v>45585</v>
      </c>
      <c r="V105" s="33">
        <v>100</v>
      </c>
      <c r="W105" s="28">
        <v>64.29</v>
      </c>
      <c r="X105" s="34" t="s">
        <v>54</v>
      </c>
      <c r="Y105" s="33">
        <v>64.29</v>
      </c>
      <c r="Z105" s="37"/>
      <c r="AA105" s="36"/>
      <c r="AC105" s="28">
        <v>64.29</v>
      </c>
      <c r="AD105" s="34" t="s">
        <v>54</v>
      </c>
      <c r="AE105" s="33">
        <v>64.29</v>
      </c>
      <c r="AN105" s="7" t="s">
        <v>54</v>
      </c>
      <c r="AO105" s="7" t="s">
        <v>55</v>
      </c>
      <c r="AP105" s="7" t="s">
        <v>56</v>
      </c>
      <c r="AT105" s="47" t="s">
        <v>57</v>
      </c>
      <c r="AU105" s="47" t="s">
        <v>57</v>
      </c>
    </row>
    <row r="106" spans="1:47">
      <c r="A106" s="4" t="s">
        <v>48</v>
      </c>
      <c r="C106" s="21"/>
      <c r="D106" s="22" t="s">
        <v>49</v>
      </c>
      <c r="G106" s="23">
        <v>45096</v>
      </c>
      <c r="H106" s="24" t="s">
        <v>365</v>
      </c>
      <c r="I106" s="29"/>
      <c r="J106" s="28" t="s">
        <v>51</v>
      </c>
      <c r="L106" s="24" t="s">
        <v>366</v>
      </c>
      <c r="M106" s="1" t="str">
        <f>"150424198606012113"</f>
        <v>150424198606012113</v>
      </c>
      <c r="N106" s="24" t="s">
        <v>366</v>
      </c>
      <c r="O106" s="1" t="str">
        <f>"150424198606012113"</f>
        <v>150424198606012113</v>
      </c>
      <c r="P106" s="23" t="s">
        <v>367</v>
      </c>
      <c r="Q106" s="23">
        <v>45097</v>
      </c>
      <c r="R106" s="32">
        <v>45463</v>
      </c>
      <c r="V106" s="33">
        <v>100</v>
      </c>
      <c r="W106" s="28">
        <v>64.29</v>
      </c>
      <c r="X106" s="34" t="s">
        <v>54</v>
      </c>
      <c r="Y106" s="33">
        <v>64.29</v>
      </c>
      <c r="Z106" s="37"/>
      <c r="AA106" s="36"/>
      <c r="AC106" s="28">
        <v>64.29</v>
      </c>
      <c r="AD106" s="34" t="s">
        <v>54</v>
      </c>
      <c r="AE106" s="33">
        <v>64.29</v>
      </c>
      <c r="AN106" s="7" t="s">
        <v>54</v>
      </c>
      <c r="AO106" s="7" t="s">
        <v>55</v>
      </c>
      <c r="AP106" s="7" t="s">
        <v>56</v>
      </c>
      <c r="AT106" s="47" t="s">
        <v>57</v>
      </c>
      <c r="AU106" s="47" t="s">
        <v>57</v>
      </c>
    </row>
    <row r="107" spans="1:47">
      <c r="A107" s="4" t="s">
        <v>48</v>
      </c>
      <c r="C107" s="21"/>
      <c r="D107" s="22" t="s">
        <v>49</v>
      </c>
      <c r="G107" s="23">
        <v>45096</v>
      </c>
      <c r="H107" s="24" t="s">
        <v>368</v>
      </c>
      <c r="I107" s="29"/>
      <c r="J107" s="28" t="s">
        <v>51</v>
      </c>
      <c r="L107" s="24" t="s">
        <v>369</v>
      </c>
      <c r="M107" s="1" t="str">
        <f>"132821195204170271"</f>
        <v>132821195204170271</v>
      </c>
      <c r="N107" s="24" t="s">
        <v>369</v>
      </c>
      <c r="O107" s="1" t="str">
        <f>"132821195204170271"</f>
        <v>132821195204170271</v>
      </c>
      <c r="P107" s="23" t="s">
        <v>370</v>
      </c>
      <c r="Q107" s="23">
        <v>45219</v>
      </c>
      <c r="R107" s="32">
        <v>45585</v>
      </c>
      <c r="V107" s="33">
        <v>100</v>
      </c>
      <c r="W107" s="28">
        <v>64.29</v>
      </c>
      <c r="X107" s="34" t="s">
        <v>54</v>
      </c>
      <c r="Y107" s="33">
        <v>64.29</v>
      </c>
      <c r="Z107" s="37"/>
      <c r="AA107" s="36"/>
      <c r="AC107" s="28">
        <v>64.29</v>
      </c>
      <c r="AD107" s="34" t="s">
        <v>54</v>
      </c>
      <c r="AE107" s="33">
        <v>64.29</v>
      </c>
      <c r="AN107" s="7" t="s">
        <v>54</v>
      </c>
      <c r="AO107" s="7" t="s">
        <v>55</v>
      </c>
      <c r="AP107" s="7" t="s">
        <v>56</v>
      </c>
      <c r="AT107" s="47" t="s">
        <v>57</v>
      </c>
      <c r="AU107" s="47" t="s">
        <v>57</v>
      </c>
    </row>
    <row r="108" spans="1:47">
      <c r="A108" s="4" t="s">
        <v>48</v>
      </c>
      <c r="C108" s="21"/>
      <c r="D108" s="22" t="s">
        <v>49</v>
      </c>
      <c r="G108" s="23">
        <v>45097</v>
      </c>
      <c r="H108" s="24" t="s">
        <v>371</v>
      </c>
      <c r="I108" s="29"/>
      <c r="J108" s="28" t="s">
        <v>51</v>
      </c>
      <c r="L108" s="24" t="s">
        <v>372</v>
      </c>
      <c r="M108" s="1" t="str">
        <f>"132821196202070271"</f>
        <v>132821196202070271</v>
      </c>
      <c r="N108" s="24" t="s">
        <v>372</v>
      </c>
      <c r="O108" s="1" t="str">
        <f>"132821196202070271"</f>
        <v>132821196202070271</v>
      </c>
      <c r="P108" s="23" t="s">
        <v>373</v>
      </c>
      <c r="Q108" s="23">
        <v>45098</v>
      </c>
      <c r="R108" s="32">
        <v>45464</v>
      </c>
      <c r="V108" s="33">
        <v>100</v>
      </c>
      <c r="W108" s="28">
        <v>64.29</v>
      </c>
      <c r="X108" s="34" t="s">
        <v>54</v>
      </c>
      <c r="Y108" s="33">
        <v>64.29</v>
      </c>
      <c r="Z108" s="37"/>
      <c r="AA108" s="36"/>
      <c r="AC108" s="28">
        <v>64.29</v>
      </c>
      <c r="AD108" s="34" t="s">
        <v>54</v>
      </c>
      <c r="AE108" s="33">
        <v>64.29</v>
      </c>
      <c r="AN108" s="7" t="s">
        <v>54</v>
      </c>
      <c r="AO108" s="7" t="s">
        <v>55</v>
      </c>
      <c r="AP108" s="7" t="s">
        <v>56</v>
      </c>
      <c r="AT108" s="47" t="s">
        <v>57</v>
      </c>
      <c r="AU108" s="47" t="s">
        <v>57</v>
      </c>
    </row>
    <row r="109" spans="1:47">
      <c r="A109" s="4" t="s">
        <v>48</v>
      </c>
      <c r="C109" s="21"/>
      <c r="D109" s="22" t="s">
        <v>49</v>
      </c>
      <c r="G109" s="23">
        <v>45097</v>
      </c>
      <c r="H109" s="24" t="s">
        <v>374</v>
      </c>
      <c r="I109" s="29"/>
      <c r="J109" s="28" t="s">
        <v>51</v>
      </c>
      <c r="L109" s="24" t="s">
        <v>375</v>
      </c>
      <c r="M109" s="1" t="str">
        <f>"13072619950918102X"</f>
        <v>13072619950918102X</v>
      </c>
      <c r="N109" s="24" t="s">
        <v>375</v>
      </c>
      <c r="O109" s="1" t="str">
        <f>"13072619950918102X"</f>
        <v>13072619950918102X</v>
      </c>
      <c r="P109" s="23" t="s">
        <v>376</v>
      </c>
      <c r="Q109" s="23">
        <v>45291</v>
      </c>
      <c r="R109" s="32">
        <v>45657</v>
      </c>
      <c r="V109" s="33">
        <v>100</v>
      </c>
      <c r="W109" s="28">
        <v>64.29</v>
      </c>
      <c r="X109" s="34" t="s">
        <v>54</v>
      </c>
      <c r="Y109" s="33">
        <v>64.29</v>
      </c>
      <c r="Z109" s="37"/>
      <c r="AA109" s="36"/>
      <c r="AC109" s="28">
        <v>64.29</v>
      </c>
      <c r="AD109" s="34" t="s">
        <v>54</v>
      </c>
      <c r="AE109" s="33">
        <v>64.29</v>
      </c>
      <c r="AN109" s="7" t="s">
        <v>54</v>
      </c>
      <c r="AO109" s="7" t="s">
        <v>55</v>
      </c>
      <c r="AP109" s="7" t="s">
        <v>56</v>
      </c>
      <c r="AT109" s="47" t="s">
        <v>57</v>
      </c>
      <c r="AU109" s="47" t="s">
        <v>57</v>
      </c>
    </row>
    <row r="110" spans="1:47">
      <c r="A110" s="4" t="s">
        <v>48</v>
      </c>
      <c r="C110" s="21"/>
      <c r="D110" s="22" t="s">
        <v>49</v>
      </c>
      <c r="G110" s="23">
        <v>45098</v>
      </c>
      <c r="H110" s="24" t="s">
        <v>377</v>
      </c>
      <c r="I110" s="29"/>
      <c r="J110" s="28" t="s">
        <v>51</v>
      </c>
      <c r="L110" s="24" t="s">
        <v>378</v>
      </c>
      <c r="M110" s="1" t="str">
        <f>"621122199812058103"</f>
        <v>621122199812058103</v>
      </c>
      <c r="N110" s="24" t="s">
        <v>378</v>
      </c>
      <c r="O110" s="1" t="str">
        <f>"621122199812058103"</f>
        <v>621122199812058103</v>
      </c>
      <c r="P110" s="23" t="s">
        <v>379</v>
      </c>
      <c r="Q110" s="23">
        <v>45112</v>
      </c>
      <c r="R110" s="32">
        <v>45478</v>
      </c>
      <c r="V110" s="33">
        <v>100</v>
      </c>
      <c r="W110" s="28">
        <v>64.29</v>
      </c>
      <c r="X110" s="34" t="s">
        <v>54</v>
      </c>
      <c r="Y110" s="33">
        <v>64.29</v>
      </c>
      <c r="Z110" s="37"/>
      <c r="AA110" s="36"/>
      <c r="AC110" s="28">
        <v>64.29</v>
      </c>
      <c r="AD110" s="34" t="s">
        <v>54</v>
      </c>
      <c r="AE110" s="33">
        <v>64.29</v>
      </c>
      <c r="AN110" s="7" t="s">
        <v>54</v>
      </c>
      <c r="AO110" s="7" t="s">
        <v>55</v>
      </c>
      <c r="AP110" s="7" t="s">
        <v>56</v>
      </c>
      <c r="AT110" s="47" t="s">
        <v>57</v>
      </c>
      <c r="AU110" s="47" t="s">
        <v>57</v>
      </c>
    </row>
    <row r="111" spans="1:47">
      <c r="A111" s="4" t="s">
        <v>48</v>
      </c>
      <c r="C111" s="21"/>
      <c r="D111" s="22" t="s">
        <v>49</v>
      </c>
      <c r="G111" s="23">
        <v>45096</v>
      </c>
      <c r="H111" s="24" t="s">
        <v>380</v>
      </c>
      <c r="I111" s="29"/>
      <c r="J111" s="28" t="s">
        <v>51</v>
      </c>
      <c r="L111" s="24" t="s">
        <v>381</v>
      </c>
      <c r="M111" s="1" t="str">
        <f>"340802198108130810"</f>
        <v>340802198108130810</v>
      </c>
      <c r="N111" s="24" t="s">
        <v>381</v>
      </c>
      <c r="O111" s="1" t="str">
        <f>"340802198108130810"</f>
        <v>340802198108130810</v>
      </c>
      <c r="P111" s="23" t="s">
        <v>382</v>
      </c>
      <c r="Q111" s="23">
        <v>45097</v>
      </c>
      <c r="R111" s="32">
        <v>45463</v>
      </c>
      <c r="V111" s="33">
        <v>100</v>
      </c>
      <c r="W111" s="28">
        <v>64.29</v>
      </c>
      <c r="X111" s="34" t="s">
        <v>54</v>
      </c>
      <c r="Y111" s="33">
        <v>64.29</v>
      </c>
      <c r="Z111" s="37"/>
      <c r="AA111" s="36"/>
      <c r="AC111" s="28">
        <v>64.29</v>
      </c>
      <c r="AD111" s="34" t="s">
        <v>54</v>
      </c>
      <c r="AE111" s="33">
        <v>64.29</v>
      </c>
      <c r="AN111" s="7" t="s">
        <v>54</v>
      </c>
      <c r="AO111" s="7" t="s">
        <v>55</v>
      </c>
      <c r="AP111" s="7" t="s">
        <v>56</v>
      </c>
      <c r="AT111" s="47" t="s">
        <v>57</v>
      </c>
      <c r="AU111" s="47" t="s">
        <v>57</v>
      </c>
    </row>
    <row r="112" spans="1:47">
      <c r="A112" s="4" t="s">
        <v>48</v>
      </c>
      <c r="C112" s="21"/>
      <c r="D112" s="22" t="s">
        <v>49</v>
      </c>
      <c r="G112" s="23">
        <v>45090</v>
      </c>
      <c r="H112" s="24" t="s">
        <v>383</v>
      </c>
      <c r="I112" s="29"/>
      <c r="J112" s="28" t="s">
        <v>51</v>
      </c>
      <c r="L112" s="24" t="s">
        <v>384</v>
      </c>
      <c r="M112" s="1" t="str">
        <f>"130929200207152798"</f>
        <v>130929200207152798</v>
      </c>
      <c r="N112" s="24" t="s">
        <v>384</v>
      </c>
      <c r="O112" s="1" t="str">
        <f>"130929200207152798"</f>
        <v>130929200207152798</v>
      </c>
      <c r="P112" s="23" t="s">
        <v>385</v>
      </c>
      <c r="Q112" s="23">
        <v>45091</v>
      </c>
      <c r="R112" s="32">
        <v>45457</v>
      </c>
      <c r="V112" s="33">
        <v>100</v>
      </c>
      <c r="W112" s="28">
        <v>64.29</v>
      </c>
      <c r="X112" s="34" t="s">
        <v>54</v>
      </c>
      <c r="Y112" s="33">
        <v>64.29</v>
      </c>
      <c r="Z112" s="37"/>
      <c r="AA112" s="36"/>
      <c r="AC112" s="28">
        <v>64.29</v>
      </c>
      <c r="AD112" s="34" t="s">
        <v>54</v>
      </c>
      <c r="AE112" s="33">
        <v>64.29</v>
      </c>
      <c r="AN112" s="7" t="s">
        <v>54</v>
      </c>
      <c r="AO112" s="7" t="s">
        <v>55</v>
      </c>
      <c r="AP112" s="7" t="s">
        <v>56</v>
      </c>
      <c r="AT112" s="47" t="s">
        <v>57</v>
      </c>
      <c r="AU112" s="47" t="s">
        <v>57</v>
      </c>
    </row>
    <row r="113" spans="1:47">
      <c r="A113" s="4" t="s">
        <v>48</v>
      </c>
      <c r="C113" s="21"/>
      <c r="D113" s="22" t="s">
        <v>49</v>
      </c>
      <c r="G113" s="23">
        <v>45085</v>
      </c>
      <c r="H113" s="24" t="s">
        <v>386</v>
      </c>
      <c r="I113" s="29"/>
      <c r="J113" s="28" t="s">
        <v>51</v>
      </c>
      <c r="L113" s="24" t="s">
        <v>387</v>
      </c>
      <c r="M113" s="1" t="str">
        <f>"110223196710058185"</f>
        <v>110223196710058185</v>
      </c>
      <c r="N113" s="24" t="s">
        <v>387</v>
      </c>
      <c r="O113" s="1" t="str">
        <f>"110223196710058185"</f>
        <v>110223196710058185</v>
      </c>
      <c r="P113" s="23" t="s">
        <v>388</v>
      </c>
      <c r="Q113" s="23">
        <v>45086</v>
      </c>
      <c r="R113" s="32">
        <v>45452</v>
      </c>
      <c r="V113" s="33">
        <v>100</v>
      </c>
      <c r="W113" s="28">
        <v>64.29</v>
      </c>
      <c r="X113" s="34" t="s">
        <v>54</v>
      </c>
      <c r="Y113" s="33">
        <v>64.29</v>
      </c>
      <c r="Z113" s="37"/>
      <c r="AA113" s="36"/>
      <c r="AC113" s="28">
        <v>64.29</v>
      </c>
      <c r="AD113" s="34" t="s">
        <v>54</v>
      </c>
      <c r="AE113" s="33">
        <v>64.29</v>
      </c>
      <c r="AN113" s="7" t="s">
        <v>54</v>
      </c>
      <c r="AO113" s="7" t="s">
        <v>55</v>
      </c>
      <c r="AP113" s="7" t="s">
        <v>56</v>
      </c>
      <c r="AT113" s="47" t="s">
        <v>57</v>
      </c>
      <c r="AU113" s="47" t="s">
        <v>57</v>
      </c>
    </row>
    <row r="114" spans="1:47">
      <c r="A114" s="4" t="s">
        <v>48</v>
      </c>
      <c r="C114" s="21"/>
      <c r="D114" s="22" t="s">
        <v>49</v>
      </c>
      <c r="G114" s="23">
        <v>45085</v>
      </c>
      <c r="H114" s="24" t="s">
        <v>389</v>
      </c>
      <c r="I114" s="29"/>
      <c r="J114" s="28" t="s">
        <v>51</v>
      </c>
      <c r="L114" s="24" t="s">
        <v>390</v>
      </c>
      <c r="M114" s="1" t="str">
        <f>"131082197307210296"</f>
        <v>131082197307210296</v>
      </c>
      <c r="N114" s="24" t="s">
        <v>390</v>
      </c>
      <c r="O114" s="1" t="str">
        <f>"131082197307210296"</f>
        <v>131082197307210296</v>
      </c>
      <c r="P114" s="23" t="s">
        <v>391</v>
      </c>
      <c r="Q114" s="23">
        <v>45209</v>
      </c>
      <c r="R114" s="32">
        <v>45575</v>
      </c>
      <c r="V114" s="33">
        <v>100</v>
      </c>
      <c r="W114" s="28">
        <v>64.29</v>
      </c>
      <c r="X114" s="34" t="s">
        <v>54</v>
      </c>
      <c r="Y114" s="33">
        <v>64.29</v>
      </c>
      <c r="Z114" s="37"/>
      <c r="AA114" s="36"/>
      <c r="AC114" s="28">
        <v>64.29</v>
      </c>
      <c r="AD114" s="34" t="s">
        <v>54</v>
      </c>
      <c r="AE114" s="33">
        <v>64.29</v>
      </c>
      <c r="AN114" s="7" t="s">
        <v>54</v>
      </c>
      <c r="AO114" s="7" t="s">
        <v>55</v>
      </c>
      <c r="AP114" s="7" t="s">
        <v>56</v>
      </c>
      <c r="AT114" s="47" t="s">
        <v>57</v>
      </c>
      <c r="AU114" s="47" t="s">
        <v>57</v>
      </c>
    </row>
    <row r="115" spans="1:47">
      <c r="A115" s="4" t="s">
        <v>48</v>
      </c>
      <c r="C115" s="21"/>
      <c r="D115" s="22" t="s">
        <v>49</v>
      </c>
      <c r="G115" s="23">
        <v>45086</v>
      </c>
      <c r="H115" s="24" t="s">
        <v>392</v>
      </c>
      <c r="I115" s="29"/>
      <c r="J115" s="28" t="s">
        <v>51</v>
      </c>
      <c r="L115" s="24" t="s">
        <v>393</v>
      </c>
      <c r="M115" s="1" t="str">
        <f>"110103197008040616"</f>
        <v>110103197008040616</v>
      </c>
      <c r="N115" s="24" t="s">
        <v>393</v>
      </c>
      <c r="O115" s="1" t="str">
        <f>"110103197008040616"</f>
        <v>110103197008040616</v>
      </c>
      <c r="P115" s="23" t="s">
        <v>394</v>
      </c>
      <c r="Q115" s="23">
        <v>45087</v>
      </c>
      <c r="R115" s="32">
        <v>45453</v>
      </c>
      <c r="V115" s="33">
        <v>100</v>
      </c>
      <c r="W115" s="28">
        <v>64.29</v>
      </c>
      <c r="X115" s="34" t="s">
        <v>54</v>
      </c>
      <c r="Y115" s="33">
        <v>64.29</v>
      </c>
      <c r="Z115" s="37"/>
      <c r="AA115" s="36"/>
      <c r="AC115" s="28">
        <v>64.29</v>
      </c>
      <c r="AD115" s="34" t="s">
        <v>54</v>
      </c>
      <c r="AE115" s="33">
        <v>64.29</v>
      </c>
      <c r="AN115" s="7" t="s">
        <v>54</v>
      </c>
      <c r="AO115" s="7" t="s">
        <v>55</v>
      </c>
      <c r="AP115" s="7" t="s">
        <v>56</v>
      </c>
      <c r="AT115" s="47" t="s">
        <v>57</v>
      </c>
      <c r="AU115" s="47" t="s">
        <v>57</v>
      </c>
    </row>
    <row r="116" spans="1:47">
      <c r="A116" s="4" t="s">
        <v>48</v>
      </c>
      <c r="C116" s="21"/>
      <c r="D116" s="22" t="s">
        <v>49</v>
      </c>
      <c r="G116" s="23">
        <v>45075</v>
      </c>
      <c r="H116" s="24" t="s">
        <v>395</v>
      </c>
      <c r="I116" s="48"/>
      <c r="J116" s="28" t="s">
        <v>51</v>
      </c>
      <c r="L116" s="24" t="s">
        <v>396</v>
      </c>
      <c r="M116" s="1" t="str">
        <f>"131024198110110073"</f>
        <v>131024198110110073</v>
      </c>
      <c r="N116" s="24" t="s">
        <v>396</v>
      </c>
      <c r="O116" s="1" t="str">
        <f>"131024198110110073"</f>
        <v>131024198110110073</v>
      </c>
      <c r="P116" s="23" t="s">
        <v>397</v>
      </c>
      <c r="Q116" s="23">
        <v>45076</v>
      </c>
      <c r="R116" s="32">
        <v>45442</v>
      </c>
      <c r="V116" s="33">
        <v>100</v>
      </c>
      <c r="W116" s="28">
        <v>64.29</v>
      </c>
      <c r="X116" s="34" t="s">
        <v>54</v>
      </c>
      <c r="Y116" s="33">
        <v>64.29</v>
      </c>
      <c r="Z116" s="37"/>
      <c r="AA116" s="36"/>
      <c r="AC116" s="28">
        <v>64.29</v>
      </c>
      <c r="AD116" s="34" t="s">
        <v>54</v>
      </c>
      <c r="AE116" s="33">
        <v>64.29</v>
      </c>
      <c r="AN116" s="7" t="s">
        <v>54</v>
      </c>
      <c r="AO116" s="7" t="s">
        <v>55</v>
      </c>
      <c r="AP116" s="7" t="s">
        <v>56</v>
      </c>
      <c r="AT116" s="47" t="s">
        <v>57</v>
      </c>
      <c r="AU116" s="47" t="s">
        <v>57</v>
      </c>
    </row>
    <row r="117" spans="1:47">
      <c r="A117" s="4" t="s">
        <v>48</v>
      </c>
      <c r="C117" s="21"/>
      <c r="D117" s="22" t="s">
        <v>49</v>
      </c>
      <c r="G117" s="23">
        <v>45075</v>
      </c>
      <c r="H117" s="24" t="s">
        <v>398</v>
      </c>
      <c r="I117" s="29"/>
      <c r="J117" s="28" t="s">
        <v>51</v>
      </c>
      <c r="L117" s="24" t="s">
        <v>399</v>
      </c>
      <c r="M117" s="1" t="str">
        <f>"131127198608166239"</f>
        <v>131127198608166239</v>
      </c>
      <c r="N117" s="24" t="s">
        <v>399</v>
      </c>
      <c r="O117" s="1" t="str">
        <f>"131127198608166239"</f>
        <v>131127198608166239</v>
      </c>
      <c r="P117" s="23" t="s">
        <v>400</v>
      </c>
      <c r="Q117" s="23">
        <v>45168</v>
      </c>
      <c r="R117" s="32">
        <v>45534</v>
      </c>
      <c r="V117" s="33">
        <v>100</v>
      </c>
      <c r="W117" s="28">
        <v>64.29</v>
      </c>
      <c r="X117" s="34" t="s">
        <v>54</v>
      </c>
      <c r="Y117" s="33">
        <v>64.29</v>
      </c>
      <c r="Z117" s="37"/>
      <c r="AA117" s="36"/>
      <c r="AC117" s="28">
        <v>64.29</v>
      </c>
      <c r="AD117" s="34" t="s">
        <v>54</v>
      </c>
      <c r="AE117" s="33">
        <v>64.29</v>
      </c>
      <c r="AN117" s="7" t="s">
        <v>54</v>
      </c>
      <c r="AO117" s="7" t="s">
        <v>55</v>
      </c>
      <c r="AP117" s="7" t="s">
        <v>56</v>
      </c>
      <c r="AT117" s="47" t="s">
        <v>57</v>
      </c>
      <c r="AU117" s="47" t="s">
        <v>57</v>
      </c>
    </row>
    <row r="118" spans="1:47">
      <c r="A118" s="4" t="s">
        <v>48</v>
      </c>
      <c r="C118" s="21"/>
      <c r="D118" s="22" t="s">
        <v>49</v>
      </c>
      <c r="G118" s="23">
        <v>45075</v>
      </c>
      <c r="H118" s="24" t="s">
        <v>401</v>
      </c>
      <c r="I118" s="29"/>
      <c r="J118" s="28" t="s">
        <v>51</v>
      </c>
      <c r="L118" s="24" t="s">
        <v>402</v>
      </c>
      <c r="M118" s="1" t="str">
        <f>"220582198001280710"</f>
        <v>220582198001280710</v>
      </c>
      <c r="N118" s="24" t="s">
        <v>402</v>
      </c>
      <c r="O118" s="1" t="str">
        <f>"220582198001280710"</f>
        <v>220582198001280710</v>
      </c>
      <c r="P118" s="23" t="s">
        <v>403</v>
      </c>
      <c r="Q118" s="23">
        <v>45168</v>
      </c>
      <c r="R118" s="32">
        <v>45534</v>
      </c>
      <c r="V118" s="33">
        <v>100</v>
      </c>
      <c r="W118" s="28">
        <v>64.29</v>
      </c>
      <c r="X118" s="34" t="s">
        <v>54</v>
      </c>
      <c r="Y118" s="33">
        <v>64.29</v>
      </c>
      <c r="Z118" s="37"/>
      <c r="AA118" s="36"/>
      <c r="AC118" s="28">
        <v>64.29</v>
      </c>
      <c r="AD118" s="34" t="s">
        <v>54</v>
      </c>
      <c r="AE118" s="33">
        <v>64.29</v>
      </c>
      <c r="AN118" s="7" t="s">
        <v>54</v>
      </c>
      <c r="AO118" s="7" t="s">
        <v>55</v>
      </c>
      <c r="AP118" s="7" t="s">
        <v>56</v>
      </c>
      <c r="AT118" s="47" t="s">
        <v>57</v>
      </c>
      <c r="AU118" s="47" t="s">
        <v>57</v>
      </c>
    </row>
    <row r="119" spans="1:47">
      <c r="A119" s="4" t="s">
        <v>48</v>
      </c>
      <c r="C119" s="21"/>
      <c r="D119" s="22" t="s">
        <v>49</v>
      </c>
      <c r="G119" s="23">
        <v>45075</v>
      </c>
      <c r="H119" s="24" t="s">
        <v>404</v>
      </c>
      <c r="I119" s="29"/>
      <c r="J119" s="28" t="s">
        <v>51</v>
      </c>
      <c r="L119" s="24" t="s">
        <v>405</v>
      </c>
      <c r="M119" s="1" t="str">
        <f>"132823196603266817"</f>
        <v>132823196603266817</v>
      </c>
      <c r="N119" s="24" t="s">
        <v>405</v>
      </c>
      <c r="O119" s="1" t="str">
        <f>"132823196603266817"</f>
        <v>132823196603266817</v>
      </c>
      <c r="P119" s="23" t="s">
        <v>406</v>
      </c>
      <c r="Q119" s="23">
        <v>45139</v>
      </c>
      <c r="R119" s="32">
        <v>45505</v>
      </c>
      <c r="V119" s="33">
        <v>100</v>
      </c>
      <c r="W119" s="28">
        <v>64.29</v>
      </c>
      <c r="X119" s="34" t="s">
        <v>54</v>
      </c>
      <c r="Y119" s="33">
        <v>64.29</v>
      </c>
      <c r="Z119" s="37"/>
      <c r="AA119" s="36"/>
      <c r="AC119" s="28">
        <v>64.29</v>
      </c>
      <c r="AD119" s="34" t="s">
        <v>54</v>
      </c>
      <c r="AE119" s="33">
        <v>64.29</v>
      </c>
      <c r="AN119" s="7" t="s">
        <v>54</v>
      </c>
      <c r="AO119" s="7" t="s">
        <v>55</v>
      </c>
      <c r="AP119" s="7" t="s">
        <v>56</v>
      </c>
      <c r="AT119" s="47" t="s">
        <v>57</v>
      </c>
      <c r="AU119" s="47" t="s">
        <v>57</v>
      </c>
    </row>
    <row r="120" spans="1:47">
      <c r="A120" s="4" t="s">
        <v>48</v>
      </c>
      <c r="C120" s="21"/>
      <c r="D120" s="22" t="s">
        <v>49</v>
      </c>
      <c r="G120" s="23">
        <v>45072</v>
      </c>
      <c r="H120" s="24" t="s">
        <v>407</v>
      </c>
      <c r="I120" s="29"/>
      <c r="J120" s="28" t="s">
        <v>51</v>
      </c>
      <c r="L120" s="24" t="s">
        <v>408</v>
      </c>
      <c r="M120" s="1" t="str">
        <f>"131022198802015445"</f>
        <v>131022198802015445</v>
      </c>
      <c r="N120" s="24" t="s">
        <v>408</v>
      </c>
      <c r="O120" s="1" t="str">
        <f>"131022198802015445"</f>
        <v>131022198802015445</v>
      </c>
      <c r="P120" s="23" t="s">
        <v>409</v>
      </c>
      <c r="Q120" s="23">
        <v>45226</v>
      </c>
      <c r="R120" s="32">
        <v>45592</v>
      </c>
      <c r="V120" s="33">
        <v>100</v>
      </c>
      <c r="W120" s="28">
        <v>64.29</v>
      </c>
      <c r="X120" s="34" t="s">
        <v>54</v>
      </c>
      <c r="Y120" s="33">
        <v>64.29</v>
      </c>
      <c r="Z120" s="37"/>
      <c r="AA120" s="36"/>
      <c r="AC120" s="28">
        <v>64.29</v>
      </c>
      <c r="AD120" s="34" t="s">
        <v>54</v>
      </c>
      <c r="AE120" s="33">
        <v>64.29</v>
      </c>
      <c r="AN120" s="7" t="s">
        <v>54</v>
      </c>
      <c r="AO120" s="7" t="s">
        <v>55</v>
      </c>
      <c r="AP120" s="7" t="s">
        <v>56</v>
      </c>
      <c r="AT120" s="47" t="s">
        <v>57</v>
      </c>
      <c r="AU120" s="47" t="s">
        <v>57</v>
      </c>
    </row>
    <row r="121" spans="1:47">
      <c r="A121" s="4" t="s">
        <v>48</v>
      </c>
      <c r="C121" s="21"/>
      <c r="D121" s="22" t="s">
        <v>49</v>
      </c>
      <c r="G121" s="23">
        <v>45072</v>
      </c>
      <c r="H121" s="24" t="s">
        <v>410</v>
      </c>
      <c r="I121" s="29"/>
      <c r="J121" s="28" t="s">
        <v>51</v>
      </c>
      <c r="L121" s="24" t="s">
        <v>411</v>
      </c>
      <c r="M121" s="1" t="str">
        <f>"131024198706174422"</f>
        <v>131024198706174422</v>
      </c>
      <c r="N121" s="24" t="s">
        <v>411</v>
      </c>
      <c r="O121" s="1" t="str">
        <f>"131024198706174422"</f>
        <v>131024198706174422</v>
      </c>
      <c r="P121" s="23" t="s">
        <v>412</v>
      </c>
      <c r="Q121" s="23">
        <v>45073</v>
      </c>
      <c r="R121" s="32">
        <v>45439</v>
      </c>
      <c r="V121" s="33">
        <v>100</v>
      </c>
      <c r="W121" s="28">
        <v>64.29</v>
      </c>
      <c r="X121" s="34" t="s">
        <v>54</v>
      </c>
      <c r="Y121" s="33">
        <v>64.29</v>
      </c>
      <c r="Z121" s="37"/>
      <c r="AA121" s="36"/>
      <c r="AC121" s="28">
        <v>64.29</v>
      </c>
      <c r="AD121" s="34" t="s">
        <v>54</v>
      </c>
      <c r="AE121" s="33">
        <v>64.29</v>
      </c>
      <c r="AN121" s="7" t="s">
        <v>54</v>
      </c>
      <c r="AO121" s="7" t="s">
        <v>55</v>
      </c>
      <c r="AP121" s="7" t="s">
        <v>56</v>
      </c>
      <c r="AT121" s="47" t="s">
        <v>57</v>
      </c>
      <c r="AU121" s="47" t="s">
        <v>57</v>
      </c>
    </row>
    <row r="122" spans="1:47">
      <c r="A122" s="4" t="s">
        <v>48</v>
      </c>
      <c r="C122" s="21"/>
      <c r="D122" s="22" t="s">
        <v>49</v>
      </c>
      <c r="G122" s="23">
        <v>45087</v>
      </c>
      <c r="H122" s="24" t="s">
        <v>413</v>
      </c>
      <c r="I122" s="29"/>
      <c r="J122" s="28" t="s">
        <v>51</v>
      </c>
      <c r="L122" s="24" t="s">
        <v>414</v>
      </c>
      <c r="M122" s="1" t="str">
        <f>"341221197906059302"</f>
        <v>341221197906059302</v>
      </c>
      <c r="N122" s="24" t="s">
        <v>414</v>
      </c>
      <c r="O122" s="1" t="str">
        <f>"341221197906059302"</f>
        <v>341221197906059302</v>
      </c>
      <c r="P122" s="23" t="s">
        <v>415</v>
      </c>
      <c r="Q122" s="23">
        <v>45088</v>
      </c>
      <c r="R122" s="32">
        <v>45454</v>
      </c>
      <c r="V122" s="33">
        <v>50</v>
      </c>
      <c r="W122" s="28">
        <v>64.29</v>
      </c>
      <c r="X122" s="34" t="s">
        <v>54</v>
      </c>
      <c r="Y122" s="33">
        <v>32.15</v>
      </c>
      <c r="Z122" s="37"/>
      <c r="AA122" s="36"/>
      <c r="AC122" s="28">
        <v>64.29</v>
      </c>
      <c r="AD122" s="34" t="s">
        <v>54</v>
      </c>
      <c r="AE122" s="33">
        <v>32.15</v>
      </c>
      <c r="AN122" s="7" t="s">
        <v>54</v>
      </c>
      <c r="AO122" s="7" t="s">
        <v>55</v>
      </c>
      <c r="AP122" s="7" t="s">
        <v>56</v>
      </c>
      <c r="AT122" s="47" t="s">
        <v>57</v>
      </c>
      <c r="AU122" s="47" t="s">
        <v>57</v>
      </c>
    </row>
    <row r="123" spans="1:47">
      <c r="A123" s="4" t="s">
        <v>48</v>
      </c>
      <c r="C123" s="21"/>
      <c r="D123" s="22" t="s">
        <v>49</v>
      </c>
      <c r="G123" s="23">
        <v>45086</v>
      </c>
      <c r="H123" s="24" t="s">
        <v>416</v>
      </c>
      <c r="I123" s="29"/>
      <c r="J123" s="28" t="s">
        <v>51</v>
      </c>
      <c r="L123" s="24" t="s">
        <v>417</v>
      </c>
      <c r="M123" s="1" t="str">
        <f>"341221199509013465"</f>
        <v>341221199509013465</v>
      </c>
      <c r="N123" s="24" t="s">
        <v>417</v>
      </c>
      <c r="O123" s="1" t="str">
        <f>"341221199509013465"</f>
        <v>341221199509013465</v>
      </c>
      <c r="P123" s="23" t="s">
        <v>418</v>
      </c>
      <c r="Q123" s="23">
        <v>45087</v>
      </c>
      <c r="R123" s="32">
        <v>45453</v>
      </c>
      <c r="V123" s="33">
        <v>50</v>
      </c>
      <c r="W123" s="28">
        <v>64.29</v>
      </c>
      <c r="X123" s="34" t="s">
        <v>54</v>
      </c>
      <c r="Y123" s="33">
        <v>32.15</v>
      </c>
      <c r="Z123" s="37"/>
      <c r="AA123" s="36"/>
      <c r="AC123" s="28">
        <v>64.29</v>
      </c>
      <c r="AD123" s="34" t="s">
        <v>54</v>
      </c>
      <c r="AE123" s="33">
        <v>32.15</v>
      </c>
      <c r="AN123" s="7" t="s">
        <v>54</v>
      </c>
      <c r="AO123" s="7" t="s">
        <v>55</v>
      </c>
      <c r="AP123" s="7" t="s">
        <v>56</v>
      </c>
      <c r="AT123" s="47" t="s">
        <v>57</v>
      </c>
      <c r="AU123" s="47" t="s">
        <v>57</v>
      </c>
    </row>
    <row r="124" spans="1:47">
      <c r="A124" s="4" t="s">
        <v>48</v>
      </c>
      <c r="C124" s="21"/>
      <c r="D124" s="22" t="s">
        <v>49</v>
      </c>
      <c r="G124" s="23">
        <v>45098</v>
      </c>
      <c r="H124" s="24" t="s">
        <v>419</v>
      </c>
      <c r="I124" s="29"/>
      <c r="J124" s="28" t="s">
        <v>51</v>
      </c>
      <c r="L124" s="24" t="s">
        <v>420</v>
      </c>
      <c r="M124" s="1" t="str">
        <f>"230119198203160317"</f>
        <v>230119198203160317</v>
      </c>
      <c r="N124" s="24" t="s">
        <v>420</v>
      </c>
      <c r="O124" s="1" t="str">
        <f>"230119198203160317"</f>
        <v>230119198203160317</v>
      </c>
      <c r="P124" s="23" t="s">
        <v>421</v>
      </c>
      <c r="Q124" s="23">
        <v>45099</v>
      </c>
      <c r="R124" s="32">
        <v>45465</v>
      </c>
      <c r="V124" s="33">
        <v>100</v>
      </c>
      <c r="W124" s="28">
        <v>64.29</v>
      </c>
      <c r="X124" s="34" t="s">
        <v>54</v>
      </c>
      <c r="Y124" s="33">
        <v>64.29</v>
      </c>
      <c r="Z124" s="37"/>
      <c r="AA124" s="36"/>
      <c r="AC124" s="28">
        <v>64.29</v>
      </c>
      <c r="AD124" s="34" t="s">
        <v>54</v>
      </c>
      <c r="AE124" s="33">
        <v>64.29</v>
      </c>
      <c r="AN124" s="7" t="s">
        <v>54</v>
      </c>
      <c r="AO124" s="7" t="s">
        <v>55</v>
      </c>
      <c r="AP124" s="7" t="s">
        <v>56</v>
      </c>
      <c r="AT124" s="47" t="s">
        <v>57</v>
      </c>
      <c r="AU124" s="47" t="s">
        <v>57</v>
      </c>
    </row>
    <row r="125" spans="1:47">
      <c r="A125" s="4" t="s">
        <v>48</v>
      </c>
      <c r="C125" s="21"/>
      <c r="D125" s="22" t="s">
        <v>49</v>
      </c>
      <c r="G125" s="23">
        <v>45097</v>
      </c>
      <c r="H125" s="24" t="s">
        <v>422</v>
      </c>
      <c r="I125" s="29"/>
      <c r="J125" s="28" t="s">
        <v>51</v>
      </c>
      <c r="L125" s="24" t="s">
        <v>423</v>
      </c>
      <c r="M125" s="1" t="str">
        <f>"341221197111154111"</f>
        <v>341221197111154111</v>
      </c>
      <c r="N125" s="24" t="s">
        <v>423</v>
      </c>
      <c r="O125" s="1" t="str">
        <f>"341221197111154111"</f>
        <v>341221197111154111</v>
      </c>
      <c r="P125" s="23" t="s">
        <v>424</v>
      </c>
      <c r="Q125" s="23">
        <v>45098</v>
      </c>
      <c r="R125" s="32">
        <v>45464</v>
      </c>
      <c r="V125" s="33">
        <v>100</v>
      </c>
      <c r="W125" s="28">
        <v>64.29</v>
      </c>
      <c r="X125" s="34" t="s">
        <v>54</v>
      </c>
      <c r="Y125" s="33">
        <v>64.29</v>
      </c>
      <c r="Z125" s="37"/>
      <c r="AA125" s="36"/>
      <c r="AC125" s="28">
        <v>64.29</v>
      </c>
      <c r="AD125" s="34" t="s">
        <v>54</v>
      </c>
      <c r="AE125" s="33">
        <v>64.29</v>
      </c>
      <c r="AN125" s="7" t="s">
        <v>54</v>
      </c>
      <c r="AO125" s="7" t="s">
        <v>55</v>
      </c>
      <c r="AP125" s="7" t="s">
        <v>56</v>
      </c>
      <c r="AT125" s="47" t="s">
        <v>57</v>
      </c>
      <c r="AU125" s="47" t="s">
        <v>57</v>
      </c>
    </row>
    <row r="126" spans="1:47">
      <c r="A126" s="4" t="s">
        <v>48</v>
      </c>
      <c r="C126" s="21"/>
      <c r="D126" s="22" t="s">
        <v>49</v>
      </c>
      <c r="G126" s="23">
        <v>45097</v>
      </c>
      <c r="H126" s="24" t="s">
        <v>425</v>
      </c>
      <c r="I126" s="29"/>
      <c r="J126" s="28" t="s">
        <v>51</v>
      </c>
      <c r="L126" s="24" t="s">
        <v>426</v>
      </c>
      <c r="M126" s="1" t="str">
        <f>"342122197105179154"</f>
        <v>342122197105179154</v>
      </c>
      <c r="N126" s="24" t="s">
        <v>426</v>
      </c>
      <c r="O126" s="1" t="str">
        <f>"342122197105179154"</f>
        <v>342122197105179154</v>
      </c>
      <c r="P126" s="23" t="s">
        <v>427</v>
      </c>
      <c r="Q126" s="23">
        <v>45098</v>
      </c>
      <c r="R126" s="32">
        <v>45464</v>
      </c>
      <c r="V126" s="33">
        <v>100</v>
      </c>
      <c r="W126" s="28">
        <v>64.29</v>
      </c>
      <c r="X126" s="34" t="s">
        <v>54</v>
      </c>
      <c r="Y126" s="33">
        <v>64.29</v>
      </c>
      <c r="Z126" s="37"/>
      <c r="AA126" s="36"/>
      <c r="AC126" s="28">
        <v>64.29</v>
      </c>
      <c r="AD126" s="34" t="s">
        <v>54</v>
      </c>
      <c r="AE126" s="33">
        <v>64.29</v>
      </c>
      <c r="AN126" s="7" t="s">
        <v>54</v>
      </c>
      <c r="AO126" s="7" t="s">
        <v>55</v>
      </c>
      <c r="AP126" s="7" t="s">
        <v>56</v>
      </c>
      <c r="AT126" s="47" t="s">
        <v>57</v>
      </c>
      <c r="AU126" s="47" t="s">
        <v>57</v>
      </c>
    </row>
    <row r="127" spans="1:47">
      <c r="A127" s="4" t="s">
        <v>48</v>
      </c>
      <c r="C127" s="21"/>
      <c r="D127" s="22" t="s">
        <v>49</v>
      </c>
      <c r="G127" s="23">
        <v>45085</v>
      </c>
      <c r="H127" s="24" t="s">
        <v>428</v>
      </c>
      <c r="I127" s="29"/>
      <c r="J127" s="28" t="s">
        <v>51</v>
      </c>
      <c r="L127" s="24" t="s">
        <v>429</v>
      </c>
      <c r="M127" s="1" t="str">
        <f>"341221199204202601"</f>
        <v>341221199204202601</v>
      </c>
      <c r="N127" s="24" t="s">
        <v>429</v>
      </c>
      <c r="O127" s="1" t="str">
        <f>"341221199204202601"</f>
        <v>341221199204202601</v>
      </c>
      <c r="P127" s="23" t="s">
        <v>430</v>
      </c>
      <c r="Q127" s="23">
        <v>45086</v>
      </c>
      <c r="R127" s="32">
        <v>45452</v>
      </c>
      <c r="V127" s="33">
        <v>100</v>
      </c>
      <c r="W127" s="28">
        <v>64.29</v>
      </c>
      <c r="X127" s="34" t="s">
        <v>54</v>
      </c>
      <c r="Y127" s="33">
        <v>64.29</v>
      </c>
      <c r="Z127" s="37"/>
      <c r="AA127" s="36"/>
      <c r="AC127" s="28">
        <v>64.29</v>
      </c>
      <c r="AD127" s="34" t="s">
        <v>54</v>
      </c>
      <c r="AE127" s="33">
        <v>64.29</v>
      </c>
      <c r="AN127" s="7" t="s">
        <v>54</v>
      </c>
      <c r="AO127" s="7" t="s">
        <v>55</v>
      </c>
      <c r="AP127" s="7" t="s">
        <v>56</v>
      </c>
      <c r="AT127" s="47" t="s">
        <v>57</v>
      </c>
      <c r="AU127" s="47" t="s">
        <v>57</v>
      </c>
    </row>
    <row r="128" spans="1:47">
      <c r="A128" s="4" t="s">
        <v>48</v>
      </c>
      <c r="C128" s="21"/>
      <c r="D128" s="22" t="s">
        <v>49</v>
      </c>
      <c r="G128" s="23">
        <v>45085</v>
      </c>
      <c r="H128" s="24" t="s">
        <v>431</v>
      </c>
      <c r="I128" s="29"/>
      <c r="J128" s="28" t="s">
        <v>51</v>
      </c>
      <c r="L128" s="24" t="s">
        <v>432</v>
      </c>
      <c r="M128" s="1" t="str">
        <f>"341623198509215622"</f>
        <v>341623198509215622</v>
      </c>
      <c r="N128" s="24" t="s">
        <v>432</v>
      </c>
      <c r="O128" s="1" t="str">
        <f>"341623198509215622"</f>
        <v>341623198509215622</v>
      </c>
      <c r="P128" s="23" t="s">
        <v>433</v>
      </c>
      <c r="Q128" s="23">
        <v>45116</v>
      </c>
      <c r="R128" s="32">
        <v>45482</v>
      </c>
      <c r="V128" s="33">
        <v>100</v>
      </c>
      <c r="W128" s="28">
        <v>64.29</v>
      </c>
      <c r="X128" s="34" t="s">
        <v>54</v>
      </c>
      <c r="Y128" s="33">
        <v>64.29</v>
      </c>
      <c r="Z128" s="37"/>
      <c r="AA128" s="36"/>
      <c r="AC128" s="28">
        <v>64.29</v>
      </c>
      <c r="AD128" s="34" t="s">
        <v>54</v>
      </c>
      <c r="AE128" s="33">
        <v>64.29</v>
      </c>
      <c r="AN128" s="7" t="s">
        <v>54</v>
      </c>
      <c r="AO128" s="7" t="s">
        <v>55</v>
      </c>
      <c r="AP128" s="7" t="s">
        <v>56</v>
      </c>
      <c r="AT128" s="47" t="s">
        <v>57</v>
      </c>
      <c r="AU128" s="47" t="s">
        <v>57</v>
      </c>
    </row>
    <row r="129" spans="1:47">
      <c r="A129" s="4" t="s">
        <v>48</v>
      </c>
      <c r="C129" s="21"/>
      <c r="D129" s="22" t="s">
        <v>49</v>
      </c>
      <c r="G129" s="23">
        <v>45086</v>
      </c>
      <c r="H129" s="24" t="s">
        <v>434</v>
      </c>
      <c r="I129" s="29"/>
      <c r="J129" s="28" t="s">
        <v>51</v>
      </c>
      <c r="L129" s="24" t="s">
        <v>435</v>
      </c>
      <c r="M129" s="1" t="str">
        <f>"132404195203224217"</f>
        <v>132404195203224217</v>
      </c>
      <c r="N129" s="24" t="s">
        <v>435</v>
      </c>
      <c r="O129" s="1" t="str">
        <f>"132404195203224217"</f>
        <v>132404195203224217</v>
      </c>
      <c r="P129" s="23" t="s">
        <v>436</v>
      </c>
      <c r="Q129" s="23">
        <v>45087</v>
      </c>
      <c r="R129" s="32">
        <v>45453</v>
      </c>
      <c r="V129" s="33">
        <v>100</v>
      </c>
      <c r="W129" s="28">
        <v>64.29</v>
      </c>
      <c r="X129" s="34" t="s">
        <v>54</v>
      </c>
      <c r="Y129" s="33">
        <v>64.29</v>
      </c>
      <c r="Z129" s="37"/>
      <c r="AA129" s="36"/>
      <c r="AC129" s="28">
        <v>64.29</v>
      </c>
      <c r="AD129" s="34" t="s">
        <v>54</v>
      </c>
      <c r="AE129" s="33">
        <v>64.29</v>
      </c>
      <c r="AN129" s="7" t="s">
        <v>54</v>
      </c>
      <c r="AO129" s="7" t="s">
        <v>55</v>
      </c>
      <c r="AP129" s="7" t="s">
        <v>56</v>
      </c>
      <c r="AT129" s="47" t="s">
        <v>57</v>
      </c>
      <c r="AU129" s="47" t="s">
        <v>57</v>
      </c>
    </row>
    <row r="130" spans="1:47">
      <c r="A130" s="4" t="s">
        <v>48</v>
      </c>
      <c r="C130" s="21"/>
      <c r="D130" s="22" t="s">
        <v>49</v>
      </c>
      <c r="G130" s="23">
        <v>45086</v>
      </c>
      <c r="H130" s="24" t="s">
        <v>437</v>
      </c>
      <c r="I130" s="29"/>
      <c r="J130" s="28" t="s">
        <v>51</v>
      </c>
      <c r="L130" s="24" t="s">
        <v>438</v>
      </c>
      <c r="M130" s="1" t="str">
        <f>"34122119931205524X"</f>
        <v>34122119931205524X</v>
      </c>
      <c r="N130" s="24" t="s">
        <v>438</v>
      </c>
      <c r="O130" s="1" t="str">
        <f>"34122119931205524X"</f>
        <v>34122119931205524X</v>
      </c>
      <c r="P130" s="23" t="s">
        <v>439</v>
      </c>
      <c r="Q130" s="23">
        <v>45240</v>
      </c>
      <c r="R130" s="32">
        <v>45606</v>
      </c>
      <c r="V130" s="33">
        <v>100</v>
      </c>
      <c r="W130" s="28">
        <v>64.29</v>
      </c>
      <c r="X130" s="34" t="s">
        <v>54</v>
      </c>
      <c r="Y130" s="33">
        <v>64.29</v>
      </c>
      <c r="Z130" s="37"/>
      <c r="AA130" s="36"/>
      <c r="AC130" s="28">
        <v>64.29</v>
      </c>
      <c r="AD130" s="34" t="s">
        <v>54</v>
      </c>
      <c r="AE130" s="33">
        <v>64.29</v>
      </c>
      <c r="AN130" s="7" t="s">
        <v>54</v>
      </c>
      <c r="AO130" s="7" t="s">
        <v>55</v>
      </c>
      <c r="AP130" s="7" t="s">
        <v>56</v>
      </c>
      <c r="AT130" s="47" t="s">
        <v>57</v>
      </c>
      <c r="AU130" s="47" t="s">
        <v>57</v>
      </c>
    </row>
    <row r="131" spans="1:47">
      <c r="A131" s="4" t="s">
        <v>48</v>
      </c>
      <c r="C131" s="21"/>
      <c r="D131" s="22" t="s">
        <v>49</v>
      </c>
      <c r="G131" s="23">
        <v>45072</v>
      </c>
      <c r="H131" s="24" t="s">
        <v>440</v>
      </c>
      <c r="I131" s="29"/>
      <c r="J131" s="28" t="s">
        <v>51</v>
      </c>
      <c r="L131" s="24" t="s">
        <v>441</v>
      </c>
      <c r="M131" s="1" t="str">
        <f>"342127197111300039"</f>
        <v>342127197111300039</v>
      </c>
      <c r="N131" s="24" t="s">
        <v>441</v>
      </c>
      <c r="O131" s="1" t="str">
        <f>"342127197111300039"</f>
        <v>342127197111300039</v>
      </c>
      <c r="P131" s="23" t="s">
        <v>442</v>
      </c>
      <c r="Q131" s="23">
        <v>45073</v>
      </c>
      <c r="R131" s="32">
        <v>45439</v>
      </c>
      <c r="V131" s="33">
        <v>100</v>
      </c>
      <c r="W131" s="28">
        <v>64.29</v>
      </c>
      <c r="X131" s="34" t="s">
        <v>54</v>
      </c>
      <c r="Y131" s="33">
        <v>64.29</v>
      </c>
      <c r="Z131" s="37"/>
      <c r="AA131" s="36"/>
      <c r="AC131" s="28">
        <v>64.29</v>
      </c>
      <c r="AD131" s="34" t="s">
        <v>54</v>
      </c>
      <c r="AE131" s="33">
        <v>64.29</v>
      </c>
      <c r="AN131" s="7" t="s">
        <v>54</v>
      </c>
      <c r="AO131" s="7" t="s">
        <v>55</v>
      </c>
      <c r="AP131" s="7" t="s">
        <v>56</v>
      </c>
      <c r="AT131" s="47" t="s">
        <v>57</v>
      </c>
      <c r="AU131" s="47" t="s">
        <v>57</v>
      </c>
    </row>
    <row r="132" spans="1:47">
      <c r="A132" s="4" t="s">
        <v>48</v>
      </c>
      <c r="C132" s="21"/>
      <c r="D132" s="22" t="s">
        <v>49</v>
      </c>
      <c r="G132" s="23">
        <v>45072</v>
      </c>
      <c r="H132" s="24" t="s">
        <v>443</v>
      </c>
      <c r="J132" s="28" t="s">
        <v>51</v>
      </c>
      <c r="L132" s="24" t="s">
        <v>444</v>
      </c>
      <c r="M132" s="1" t="str">
        <f>"371425199011136478"</f>
        <v>371425199011136478</v>
      </c>
      <c r="N132" s="24" t="s">
        <v>444</v>
      </c>
      <c r="O132" s="1" t="str">
        <f>"371425199011136478"</f>
        <v>371425199011136478</v>
      </c>
      <c r="P132" s="23" t="s">
        <v>445</v>
      </c>
      <c r="Q132" s="23">
        <v>45073</v>
      </c>
      <c r="R132" s="32">
        <v>45439</v>
      </c>
      <c r="V132" s="33">
        <v>100</v>
      </c>
      <c r="W132" s="28">
        <v>64.29</v>
      </c>
      <c r="X132" s="34" t="s">
        <v>54</v>
      </c>
      <c r="Y132" s="33">
        <v>64.29</v>
      </c>
      <c r="AC132" s="28">
        <v>64.29</v>
      </c>
      <c r="AD132" s="34" t="s">
        <v>54</v>
      </c>
      <c r="AE132" s="33">
        <v>64.29</v>
      </c>
      <c r="AN132" s="7" t="s">
        <v>54</v>
      </c>
      <c r="AO132" s="7" t="s">
        <v>55</v>
      </c>
      <c r="AP132" s="7" t="s">
        <v>56</v>
      </c>
      <c r="AT132" s="47" t="s">
        <v>57</v>
      </c>
      <c r="AU132" s="47" t="s">
        <v>57</v>
      </c>
    </row>
    <row r="133" spans="1:47">
      <c r="A133" s="4" t="s">
        <v>48</v>
      </c>
      <c r="C133" s="21"/>
      <c r="D133" s="22" t="s">
        <v>49</v>
      </c>
      <c r="G133" s="23">
        <v>45072</v>
      </c>
      <c r="H133" s="24" t="s">
        <v>446</v>
      </c>
      <c r="J133" s="28" t="s">
        <v>51</v>
      </c>
      <c r="L133" s="24" t="s">
        <v>447</v>
      </c>
      <c r="M133" s="1" t="str">
        <f>"341204198208151011"</f>
        <v>341204198208151011</v>
      </c>
      <c r="N133" s="24" t="s">
        <v>447</v>
      </c>
      <c r="O133" s="1" t="str">
        <f>"341204198208151011"</f>
        <v>341204198208151011</v>
      </c>
      <c r="P133" s="23" t="s">
        <v>448</v>
      </c>
      <c r="Q133" s="23">
        <v>45073</v>
      </c>
      <c r="R133" s="32">
        <v>45439</v>
      </c>
      <c r="V133" s="33">
        <v>100</v>
      </c>
      <c r="W133" s="28">
        <v>64.29</v>
      </c>
      <c r="X133" s="34" t="s">
        <v>54</v>
      </c>
      <c r="Y133" s="33">
        <v>64.29</v>
      </c>
      <c r="AC133" s="28">
        <v>64.29</v>
      </c>
      <c r="AD133" s="34" t="s">
        <v>54</v>
      </c>
      <c r="AE133" s="33">
        <v>64.29</v>
      </c>
      <c r="AN133" s="7" t="s">
        <v>54</v>
      </c>
      <c r="AO133" s="7" t="s">
        <v>55</v>
      </c>
      <c r="AP133" s="7" t="s">
        <v>56</v>
      </c>
      <c r="AT133" s="47" t="s">
        <v>57</v>
      </c>
      <c r="AU133" s="47" t="s">
        <v>57</v>
      </c>
    </row>
    <row r="134" spans="1:47">
      <c r="A134" s="4" t="s">
        <v>48</v>
      </c>
      <c r="C134" s="21"/>
      <c r="D134" s="22" t="s">
        <v>49</v>
      </c>
      <c r="G134" s="23">
        <v>45088</v>
      </c>
      <c r="H134" s="24" t="s">
        <v>449</v>
      </c>
      <c r="J134" s="28" t="s">
        <v>51</v>
      </c>
      <c r="L134" s="24" t="s">
        <v>450</v>
      </c>
      <c r="M134" s="1" t="str">
        <f>"341204198502161018"</f>
        <v>341204198502161018</v>
      </c>
      <c r="N134" s="24" t="s">
        <v>450</v>
      </c>
      <c r="O134" s="1" t="str">
        <f>"341204198502161018"</f>
        <v>341204198502161018</v>
      </c>
      <c r="P134" s="23" t="s">
        <v>451</v>
      </c>
      <c r="Q134" s="23">
        <v>45089</v>
      </c>
      <c r="R134" s="32">
        <v>45455</v>
      </c>
      <c r="V134" s="33">
        <v>50</v>
      </c>
      <c r="W134" s="28">
        <v>64.29</v>
      </c>
      <c r="X134" s="34" t="s">
        <v>54</v>
      </c>
      <c r="Y134" s="33">
        <v>32.15</v>
      </c>
      <c r="AC134" s="28">
        <v>64.29</v>
      </c>
      <c r="AD134" s="34" t="s">
        <v>54</v>
      </c>
      <c r="AE134" s="33">
        <v>32.15</v>
      </c>
      <c r="AN134" s="7" t="s">
        <v>54</v>
      </c>
      <c r="AO134" s="7" t="s">
        <v>55</v>
      </c>
      <c r="AP134" s="7" t="s">
        <v>56</v>
      </c>
      <c r="AT134" s="47" t="s">
        <v>57</v>
      </c>
      <c r="AU134" s="47" t="s">
        <v>57</v>
      </c>
    </row>
    <row r="135" spans="1:47">
      <c r="A135" s="4" t="s">
        <v>48</v>
      </c>
      <c r="C135" s="21"/>
      <c r="D135" s="22" t="s">
        <v>49</v>
      </c>
      <c r="G135" s="23">
        <v>45083</v>
      </c>
      <c r="H135" s="24" t="s">
        <v>452</v>
      </c>
      <c r="J135" s="28" t="s">
        <v>51</v>
      </c>
      <c r="L135" s="24" t="s">
        <v>453</v>
      </c>
      <c r="M135" s="1" t="str">
        <f>"341204198809171026"</f>
        <v>341204198809171026</v>
      </c>
      <c r="N135" s="24" t="s">
        <v>453</v>
      </c>
      <c r="O135" s="1" t="str">
        <f>"341204198809171026"</f>
        <v>341204198809171026</v>
      </c>
      <c r="P135" s="23" t="s">
        <v>454</v>
      </c>
      <c r="Q135" s="23">
        <v>45084</v>
      </c>
      <c r="R135" s="32">
        <v>45450</v>
      </c>
      <c r="V135" s="33">
        <v>50</v>
      </c>
      <c r="W135" s="28">
        <v>64.29</v>
      </c>
      <c r="X135" s="34" t="s">
        <v>54</v>
      </c>
      <c r="Y135" s="33">
        <v>32.15</v>
      </c>
      <c r="AC135" s="28">
        <v>64.29</v>
      </c>
      <c r="AD135" s="34" t="s">
        <v>54</v>
      </c>
      <c r="AE135" s="33">
        <v>32.15</v>
      </c>
      <c r="AN135" s="7" t="s">
        <v>54</v>
      </c>
      <c r="AO135" s="7" t="s">
        <v>55</v>
      </c>
      <c r="AP135" s="7" t="s">
        <v>56</v>
      </c>
      <c r="AT135" s="47" t="s">
        <v>57</v>
      </c>
      <c r="AU135" s="47" t="s">
        <v>57</v>
      </c>
    </row>
    <row r="136" spans="1:47">
      <c r="A136" s="4" t="s">
        <v>48</v>
      </c>
      <c r="C136" s="21"/>
      <c r="D136" s="22" t="s">
        <v>49</v>
      </c>
      <c r="G136" s="23">
        <v>45082</v>
      </c>
      <c r="H136" s="24" t="s">
        <v>455</v>
      </c>
      <c r="J136" s="28" t="s">
        <v>51</v>
      </c>
      <c r="L136" s="24" t="s">
        <v>456</v>
      </c>
      <c r="M136" s="1" t="str">
        <f>"120222198004302624"</f>
        <v>120222198004302624</v>
      </c>
      <c r="N136" s="24" t="s">
        <v>456</v>
      </c>
      <c r="O136" s="1" t="str">
        <f>"120222198004302624"</f>
        <v>120222198004302624</v>
      </c>
      <c r="P136" s="23" t="s">
        <v>457</v>
      </c>
      <c r="Q136" s="23">
        <v>45083</v>
      </c>
      <c r="R136" s="32">
        <v>45449</v>
      </c>
      <c r="V136" s="33">
        <v>50</v>
      </c>
      <c r="W136" s="28">
        <v>64.29</v>
      </c>
      <c r="X136" s="34" t="s">
        <v>54</v>
      </c>
      <c r="Y136" s="33">
        <v>32.15</v>
      </c>
      <c r="AC136" s="28">
        <v>64.29</v>
      </c>
      <c r="AD136" s="34" t="s">
        <v>54</v>
      </c>
      <c r="AE136" s="33">
        <v>32.15</v>
      </c>
      <c r="AN136" s="7" t="s">
        <v>54</v>
      </c>
      <c r="AO136" s="7" t="s">
        <v>55</v>
      </c>
      <c r="AP136" s="7" t="s">
        <v>56</v>
      </c>
      <c r="AT136" s="47" t="s">
        <v>57</v>
      </c>
      <c r="AU136" s="47" t="s">
        <v>57</v>
      </c>
    </row>
    <row r="137" spans="1:47">
      <c r="A137" s="4" t="s">
        <v>48</v>
      </c>
      <c r="C137" s="21"/>
      <c r="D137" s="22" t="s">
        <v>49</v>
      </c>
      <c r="G137" s="23">
        <v>45083</v>
      </c>
      <c r="H137" s="24" t="s">
        <v>458</v>
      </c>
      <c r="J137" s="28" t="s">
        <v>51</v>
      </c>
      <c r="L137" s="24" t="s">
        <v>459</v>
      </c>
      <c r="M137" s="1" t="str">
        <f>"130424198107242412"</f>
        <v>130424198107242412</v>
      </c>
      <c r="N137" s="24" t="s">
        <v>459</v>
      </c>
      <c r="O137" s="1" t="str">
        <f>"130424198107242412"</f>
        <v>130424198107242412</v>
      </c>
      <c r="P137" s="23" t="s">
        <v>460</v>
      </c>
      <c r="Q137" s="23">
        <v>45084</v>
      </c>
      <c r="R137" s="32">
        <v>45450</v>
      </c>
      <c r="V137" s="33">
        <v>50</v>
      </c>
      <c r="W137" s="28">
        <v>64.29</v>
      </c>
      <c r="X137" s="34" t="s">
        <v>54</v>
      </c>
      <c r="Y137" s="33">
        <v>32.15</v>
      </c>
      <c r="AC137" s="28">
        <v>64.29</v>
      </c>
      <c r="AD137" s="34" t="s">
        <v>54</v>
      </c>
      <c r="AE137" s="33">
        <v>32.15</v>
      </c>
      <c r="AN137" s="7" t="s">
        <v>54</v>
      </c>
      <c r="AO137" s="7" t="s">
        <v>55</v>
      </c>
      <c r="AP137" s="7" t="s">
        <v>56</v>
      </c>
      <c r="AT137" s="47" t="s">
        <v>57</v>
      </c>
      <c r="AU137" s="47" t="s">
        <v>57</v>
      </c>
    </row>
    <row r="138" spans="1:47">
      <c r="A138" s="4" t="s">
        <v>48</v>
      </c>
      <c r="C138" s="21"/>
      <c r="D138" s="22" t="s">
        <v>49</v>
      </c>
      <c r="G138" s="23">
        <v>45098</v>
      </c>
      <c r="H138" s="24" t="s">
        <v>461</v>
      </c>
      <c r="J138" s="28" t="s">
        <v>51</v>
      </c>
      <c r="L138" s="24" t="s">
        <v>462</v>
      </c>
      <c r="M138" s="1" t="str">
        <f>"342121195005302025"</f>
        <v>342121195005302025</v>
      </c>
      <c r="N138" s="24" t="s">
        <v>462</v>
      </c>
      <c r="O138" s="1" t="str">
        <f>"342121195005302025"</f>
        <v>342121195005302025</v>
      </c>
      <c r="P138" s="23" t="s">
        <v>463</v>
      </c>
      <c r="Q138" s="23">
        <v>45099</v>
      </c>
      <c r="R138" s="32">
        <v>45465</v>
      </c>
      <c r="V138" s="33">
        <v>100</v>
      </c>
      <c r="W138" s="28">
        <v>64.29</v>
      </c>
      <c r="X138" s="34" t="s">
        <v>54</v>
      </c>
      <c r="Y138" s="33">
        <v>64.29</v>
      </c>
      <c r="AC138" s="28">
        <v>64.29</v>
      </c>
      <c r="AD138" s="34" t="s">
        <v>54</v>
      </c>
      <c r="AE138" s="33">
        <v>64.29</v>
      </c>
      <c r="AN138" s="7" t="s">
        <v>54</v>
      </c>
      <c r="AO138" s="7" t="s">
        <v>55</v>
      </c>
      <c r="AP138" s="7" t="s">
        <v>56</v>
      </c>
      <c r="AT138" s="47" t="s">
        <v>57</v>
      </c>
      <c r="AU138" s="47" t="s">
        <v>57</v>
      </c>
    </row>
    <row r="139" spans="1:47">
      <c r="A139" s="4" t="s">
        <v>48</v>
      </c>
      <c r="C139" s="21"/>
      <c r="D139" s="22" t="s">
        <v>49</v>
      </c>
      <c r="G139" s="23">
        <v>45096</v>
      </c>
      <c r="H139" s="24" t="s">
        <v>464</v>
      </c>
      <c r="J139" s="28" t="s">
        <v>51</v>
      </c>
      <c r="L139" s="24" t="s">
        <v>465</v>
      </c>
      <c r="M139" s="1" t="str">
        <f>"131126199403096319"</f>
        <v>131126199403096319</v>
      </c>
      <c r="N139" s="24" t="s">
        <v>465</v>
      </c>
      <c r="O139" s="1" t="str">
        <f>"131126199403096319"</f>
        <v>131126199403096319</v>
      </c>
      <c r="P139" s="23" t="s">
        <v>466</v>
      </c>
      <c r="Q139" s="23">
        <v>45307</v>
      </c>
      <c r="R139" s="32">
        <v>45673</v>
      </c>
      <c r="V139" s="33">
        <v>100</v>
      </c>
      <c r="W139" s="28">
        <v>64.29</v>
      </c>
      <c r="X139" s="34" t="s">
        <v>54</v>
      </c>
      <c r="Y139" s="33">
        <v>64.29</v>
      </c>
      <c r="AC139" s="28">
        <v>64.29</v>
      </c>
      <c r="AD139" s="34" t="s">
        <v>54</v>
      </c>
      <c r="AE139" s="33">
        <v>64.29</v>
      </c>
      <c r="AN139" s="7" t="s">
        <v>54</v>
      </c>
      <c r="AO139" s="7" t="s">
        <v>55</v>
      </c>
      <c r="AP139" s="7" t="s">
        <v>56</v>
      </c>
      <c r="AT139" s="47" t="s">
        <v>57</v>
      </c>
      <c r="AU139" s="47" t="s">
        <v>57</v>
      </c>
    </row>
    <row r="140" spans="1:47">
      <c r="A140" s="4" t="s">
        <v>48</v>
      </c>
      <c r="C140" s="21"/>
      <c r="D140" s="22" t="s">
        <v>49</v>
      </c>
      <c r="G140" s="23">
        <v>45086</v>
      </c>
      <c r="H140" s="24" t="s">
        <v>467</v>
      </c>
      <c r="J140" s="28" t="s">
        <v>51</v>
      </c>
      <c r="L140" s="24" t="s">
        <v>468</v>
      </c>
      <c r="M140" s="1" t="str">
        <f>"341204197611231025"</f>
        <v>341204197611231025</v>
      </c>
      <c r="N140" s="24" t="s">
        <v>468</v>
      </c>
      <c r="O140" s="1" t="str">
        <f>"341204197611231025"</f>
        <v>341204197611231025</v>
      </c>
      <c r="P140" s="23" t="s">
        <v>469</v>
      </c>
      <c r="Q140" s="23">
        <v>45087</v>
      </c>
      <c r="R140" s="32">
        <v>45453</v>
      </c>
      <c r="V140" s="33">
        <v>100</v>
      </c>
      <c r="W140" s="28">
        <v>64.29</v>
      </c>
      <c r="X140" s="34" t="s">
        <v>54</v>
      </c>
      <c r="Y140" s="33">
        <v>64.29</v>
      </c>
      <c r="AC140" s="28">
        <v>64.29</v>
      </c>
      <c r="AD140" s="34" t="s">
        <v>54</v>
      </c>
      <c r="AE140" s="33">
        <v>64.29</v>
      </c>
      <c r="AN140" s="7" t="s">
        <v>54</v>
      </c>
      <c r="AO140" s="7" t="s">
        <v>55</v>
      </c>
      <c r="AP140" s="7" t="s">
        <v>56</v>
      </c>
      <c r="AT140" s="47" t="s">
        <v>57</v>
      </c>
      <c r="AU140" s="47" t="s">
        <v>57</v>
      </c>
    </row>
    <row r="141" spans="1:47">
      <c r="A141" s="4" t="s">
        <v>48</v>
      </c>
      <c r="C141" s="21"/>
      <c r="D141" s="22" t="s">
        <v>49</v>
      </c>
      <c r="G141" s="23">
        <v>45085</v>
      </c>
      <c r="H141" s="24" t="s">
        <v>470</v>
      </c>
      <c r="J141" s="28" t="s">
        <v>51</v>
      </c>
      <c r="L141" s="24" t="s">
        <v>471</v>
      </c>
      <c r="M141" s="1" t="str">
        <f>"34120419811201184X"</f>
        <v>34120419811201184X</v>
      </c>
      <c r="N141" s="24" t="s">
        <v>471</v>
      </c>
      <c r="O141" s="1" t="str">
        <f>"34120419811201184X"</f>
        <v>34120419811201184X</v>
      </c>
      <c r="P141" s="23" t="s">
        <v>472</v>
      </c>
      <c r="Q141" s="23">
        <v>45209</v>
      </c>
      <c r="R141" s="32">
        <v>45575</v>
      </c>
      <c r="V141" s="33">
        <v>100</v>
      </c>
      <c r="W141" s="28">
        <v>64.29</v>
      </c>
      <c r="X141" s="34" t="s">
        <v>54</v>
      </c>
      <c r="Y141" s="33">
        <v>64.29</v>
      </c>
      <c r="AC141" s="28">
        <v>64.29</v>
      </c>
      <c r="AD141" s="34" t="s">
        <v>54</v>
      </c>
      <c r="AE141" s="33">
        <v>64.29</v>
      </c>
      <c r="AN141" s="7" t="s">
        <v>54</v>
      </c>
      <c r="AO141" s="7" t="s">
        <v>55</v>
      </c>
      <c r="AP141" s="7" t="s">
        <v>56</v>
      </c>
      <c r="AT141" s="47" t="s">
        <v>57</v>
      </c>
      <c r="AU141" s="47" t="s">
        <v>57</v>
      </c>
    </row>
    <row r="142" spans="1:47">
      <c r="A142" s="4" t="s">
        <v>48</v>
      </c>
      <c r="C142" s="21"/>
      <c r="D142" s="22" t="s">
        <v>49</v>
      </c>
      <c r="G142" s="23">
        <v>45086</v>
      </c>
      <c r="H142" s="24" t="s">
        <v>473</v>
      </c>
      <c r="J142" s="28" t="s">
        <v>51</v>
      </c>
      <c r="L142" s="24" t="s">
        <v>474</v>
      </c>
      <c r="M142" s="1" t="str">
        <f>"130281199510181147"</f>
        <v>130281199510181147</v>
      </c>
      <c r="N142" s="24" t="s">
        <v>474</v>
      </c>
      <c r="O142" s="1" t="str">
        <f>"130281199510181147"</f>
        <v>130281199510181147</v>
      </c>
      <c r="P142" s="23" t="s">
        <v>475</v>
      </c>
      <c r="Q142" s="23">
        <v>45087</v>
      </c>
      <c r="R142" s="32">
        <v>45453</v>
      </c>
      <c r="V142" s="33">
        <v>100</v>
      </c>
      <c r="W142" s="28">
        <v>64.29</v>
      </c>
      <c r="X142" s="34" t="s">
        <v>54</v>
      </c>
      <c r="Y142" s="33">
        <v>64.29</v>
      </c>
      <c r="AC142" s="28">
        <v>64.29</v>
      </c>
      <c r="AD142" s="34" t="s">
        <v>54</v>
      </c>
      <c r="AE142" s="33">
        <v>64.29</v>
      </c>
      <c r="AN142" s="7" t="s">
        <v>54</v>
      </c>
      <c r="AO142" s="7" t="s">
        <v>55</v>
      </c>
      <c r="AP142" s="7" t="s">
        <v>56</v>
      </c>
      <c r="AT142" s="47" t="s">
        <v>57</v>
      </c>
      <c r="AU142" s="47" t="s">
        <v>57</v>
      </c>
    </row>
    <row r="143" spans="1:47">
      <c r="A143" s="4" t="s">
        <v>48</v>
      </c>
      <c r="C143" s="21"/>
      <c r="D143" s="22" t="s">
        <v>49</v>
      </c>
      <c r="G143" s="23">
        <v>45072</v>
      </c>
      <c r="H143" s="24" t="s">
        <v>476</v>
      </c>
      <c r="J143" s="28" t="s">
        <v>51</v>
      </c>
      <c r="L143" s="24" t="s">
        <v>477</v>
      </c>
      <c r="M143" s="1" t="str">
        <f>"341204199102100253"</f>
        <v>341204199102100253</v>
      </c>
      <c r="N143" s="24" t="s">
        <v>477</v>
      </c>
      <c r="O143" s="1" t="str">
        <f>"341204199102100253"</f>
        <v>341204199102100253</v>
      </c>
      <c r="P143" s="23" t="s">
        <v>478</v>
      </c>
      <c r="Q143" s="23">
        <v>45073</v>
      </c>
      <c r="R143" s="32">
        <v>45439</v>
      </c>
      <c r="V143" s="33">
        <v>100</v>
      </c>
      <c r="W143" s="28">
        <v>64.29</v>
      </c>
      <c r="X143" s="34" t="s">
        <v>54</v>
      </c>
      <c r="Y143" s="33">
        <v>64.29</v>
      </c>
      <c r="AC143" s="28">
        <v>64.29</v>
      </c>
      <c r="AD143" s="34" t="s">
        <v>54</v>
      </c>
      <c r="AE143" s="33">
        <v>64.29</v>
      </c>
      <c r="AN143" s="7" t="s">
        <v>54</v>
      </c>
      <c r="AO143" s="7" t="s">
        <v>55</v>
      </c>
      <c r="AP143" s="7" t="s">
        <v>56</v>
      </c>
      <c r="AT143" s="47" t="s">
        <v>57</v>
      </c>
      <c r="AU143" s="47" t="s">
        <v>57</v>
      </c>
    </row>
    <row r="144" spans="1:47">
      <c r="A144" s="4" t="s">
        <v>48</v>
      </c>
      <c r="C144" s="21"/>
      <c r="D144" s="22" t="s">
        <v>49</v>
      </c>
      <c r="G144" s="23">
        <v>45102</v>
      </c>
      <c r="H144" s="24" t="s">
        <v>479</v>
      </c>
      <c r="J144" s="28" t="s">
        <v>51</v>
      </c>
      <c r="L144" s="24" t="s">
        <v>480</v>
      </c>
      <c r="M144" s="1" t="str">
        <f>"341204197704281216"</f>
        <v>341204197704281216</v>
      </c>
      <c r="N144" s="24" t="s">
        <v>480</v>
      </c>
      <c r="O144" s="1" t="str">
        <f>"341204197704281216"</f>
        <v>341204197704281216</v>
      </c>
      <c r="P144" s="23" t="s">
        <v>481</v>
      </c>
      <c r="Q144" s="23">
        <v>45103</v>
      </c>
      <c r="R144" s="32">
        <v>45469</v>
      </c>
      <c r="V144" s="33">
        <v>200</v>
      </c>
      <c r="W144" s="28">
        <v>64.29</v>
      </c>
      <c r="X144" s="34" t="s">
        <v>54</v>
      </c>
      <c r="Y144" s="33">
        <v>128.58</v>
      </c>
      <c r="AC144" s="28">
        <v>64.29</v>
      </c>
      <c r="AD144" s="34" t="s">
        <v>54</v>
      </c>
      <c r="AE144" s="33">
        <v>128.58</v>
      </c>
      <c r="AN144" s="7" t="s">
        <v>54</v>
      </c>
      <c r="AO144" s="7" t="s">
        <v>55</v>
      </c>
      <c r="AP144" s="7" t="s">
        <v>56</v>
      </c>
      <c r="AT144" s="47" t="s">
        <v>57</v>
      </c>
      <c r="AU144" s="47" t="s">
        <v>57</v>
      </c>
    </row>
    <row r="145" spans="1:47">
      <c r="A145" s="4" t="s">
        <v>48</v>
      </c>
      <c r="C145" s="21"/>
      <c r="D145" s="22" t="s">
        <v>49</v>
      </c>
      <c r="G145" s="23">
        <v>45102</v>
      </c>
      <c r="H145" s="24" t="s">
        <v>482</v>
      </c>
      <c r="J145" s="28" t="s">
        <v>51</v>
      </c>
      <c r="L145" s="24" t="s">
        <v>483</v>
      </c>
      <c r="M145" s="1" t="str">
        <f>"341202198601121553"</f>
        <v>341202198601121553</v>
      </c>
      <c r="N145" s="24" t="s">
        <v>483</v>
      </c>
      <c r="O145" s="1" t="str">
        <f>"341202198601121553"</f>
        <v>341202198601121553</v>
      </c>
      <c r="P145" s="23" t="s">
        <v>484</v>
      </c>
      <c r="Q145" s="23">
        <v>45154</v>
      </c>
      <c r="R145" s="32">
        <v>45520</v>
      </c>
      <c r="V145" s="33">
        <v>200</v>
      </c>
      <c r="W145" s="28">
        <v>64.29</v>
      </c>
      <c r="X145" s="34" t="s">
        <v>54</v>
      </c>
      <c r="Y145" s="33">
        <v>128.58</v>
      </c>
      <c r="AC145" s="28">
        <v>64.29</v>
      </c>
      <c r="AD145" s="34" t="s">
        <v>54</v>
      </c>
      <c r="AE145" s="33">
        <v>128.58</v>
      </c>
      <c r="AN145" s="7" t="s">
        <v>54</v>
      </c>
      <c r="AO145" s="7" t="s">
        <v>55</v>
      </c>
      <c r="AP145" s="7" t="s">
        <v>56</v>
      </c>
      <c r="AT145" s="47" t="s">
        <v>57</v>
      </c>
      <c r="AU145" s="47" t="s">
        <v>57</v>
      </c>
    </row>
    <row r="146" spans="1:47">
      <c r="A146" s="4" t="s">
        <v>48</v>
      </c>
      <c r="C146" s="21"/>
      <c r="D146" s="22" t="s">
        <v>49</v>
      </c>
      <c r="G146" s="23">
        <v>45082</v>
      </c>
      <c r="H146" s="24" t="s">
        <v>485</v>
      </c>
      <c r="J146" s="28" t="s">
        <v>51</v>
      </c>
      <c r="L146" s="24" t="s">
        <v>486</v>
      </c>
      <c r="M146" s="1" t="str">
        <f>"341204199107040835"</f>
        <v>341204199107040835</v>
      </c>
      <c r="N146" s="24" t="s">
        <v>486</v>
      </c>
      <c r="O146" s="1" t="str">
        <f>"341204199107040835"</f>
        <v>341204199107040835</v>
      </c>
      <c r="P146" s="23" t="s">
        <v>487</v>
      </c>
      <c r="Q146" s="23">
        <v>45083</v>
      </c>
      <c r="R146" s="32">
        <v>45449</v>
      </c>
      <c r="V146" s="33">
        <v>50</v>
      </c>
      <c r="W146" s="28">
        <v>64.29</v>
      </c>
      <c r="X146" s="34" t="s">
        <v>54</v>
      </c>
      <c r="Y146" s="33">
        <v>32.15</v>
      </c>
      <c r="AC146" s="28">
        <v>64.29</v>
      </c>
      <c r="AD146" s="34" t="s">
        <v>54</v>
      </c>
      <c r="AE146" s="33">
        <v>32.15</v>
      </c>
      <c r="AN146" s="7" t="s">
        <v>54</v>
      </c>
      <c r="AO146" s="7" t="s">
        <v>55</v>
      </c>
      <c r="AP146" s="7" t="s">
        <v>56</v>
      </c>
      <c r="AT146" s="47" t="s">
        <v>57</v>
      </c>
      <c r="AU146" s="47" t="s">
        <v>57</v>
      </c>
    </row>
    <row r="147" spans="1:47">
      <c r="A147" s="4" t="s">
        <v>48</v>
      </c>
      <c r="C147" s="21"/>
      <c r="D147" s="22" t="s">
        <v>49</v>
      </c>
      <c r="G147" s="23">
        <v>45083</v>
      </c>
      <c r="H147" s="24" t="s">
        <v>488</v>
      </c>
      <c r="J147" s="28" t="s">
        <v>51</v>
      </c>
      <c r="L147" s="24" t="s">
        <v>489</v>
      </c>
      <c r="M147" s="1" t="str">
        <f>"341204200504070240"</f>
        <v>341204200504070240</v>
      </c>
      <c r="N147" s="24" t="s">
        <v>489</v>
      </c>
      <c r="O147" s="1" t="str">
        <f>"341204200504070240"</f>
        <v>341204200504070240</v>
      </c>
      <c r="P147" s="23" t="s">
        <v>490</v>
      </c>
      <c r="Q147" s="23">
        <v>45084</v>
      </c>
      <c r="R147" s="32">
        <v>45450</v>
      </c>
      <c r="V147" s="33">
        <v>50</v>
      </c>
      <c r="W147" s="28">
        <v>64.29</v>
      </c>
      <c r="X147" s="34" t="s">
        <v>54</v>
      </c>
      <c r="Y147" s="33">
        <v>32.15</v>
      </c>
      <c r="AC147" s="28">
        <v>64.29</v>
      </c>
      <c r="AD147" s="34" t="s">
        <v>54</v>
      </c>
      <c r="AE147" s="33">
        <v>32.15</v>
      </c>
      <c r="AN147" s="7" t="s">
        <v>54</v>
      </c>
      <c r="AO147" s="7" t="s">
        <v>55</v>
      </c>
      <c r="AP147" s="7" t="s">
        <v>56</v>
      </c>
      <c r="AT147" s="47" t="s">
        <v>57</v>
      </c>
      <c r="AU147" s="47" t="s">
        <v>57</v>
      </c>
    </row>
    <row r="148" spans="1:47">
      <c r="A148" s="4" t="s">
        <v>48</v>
      </c>
      <c r="C148" s="21"/>
      <c r="D148" s="22" t="s">
        <v>49</v>
      </c>
      <c r="G148" s="23">
        <v>45083</v>
      </c>
      <c r="H148" s="24" t="s">
        <v>491</v>
      </c>
      <c r="J148" s="28" t="s">
        <v>51</v>
      </c>
      <c r="L148" s="24" t="s">
        <v>492</v>
      </c>
      <c r="M148" s="1" t="str">
        <f>"370881198903164068"</f>
        <v>370881198903164068</v>
      </c>
      <c r="N148" s="24" t="s">
        <v>492</v>
      </c>
      <c r="O148" s="1" t="str">
        <f>"370881198903164068"</f>
        <v>370881198903164068</v>
      </c>
      <c r="P148" s="23" t="s">
        <v>493</v>
      </c>
      <c r="Q148" s="23">
        <v>45084</v>
      </c>
      <c r="R148" s="32">
        <v>45450</v>
      </c>
      <c r="V148" s="33">
        <v>50</v>
      </c>
      <c r="W148" s="28">
        <v>64.29</v>
      </c>
      <c r="X148" s="34" t="s">
        <v>54</v>
      </c>
      <c r="Y148" s="33">
        <v>32.15</v>
      </c>
      <c r="AC148" s="28">
        <v>64.29</v>
      </c>
      <c r="AD148" s="34" t="s">
        <v>54</v>
      </c>
      <c r="AE148" s="33">
        <v>32.15</v>
      </c>
      <c r="AN148" s="7" t="s">
        <v>54</v>
      </c>
      <c r="AO148" s="7" t="s">
        <v>55</v>
      </c>
      <c r="AP148" s="7" t="s">
        <v>56</v>
      </c>
      <c r="AT148" s="47" t="s">
        <v>57</v>
      </c>
      <c r="AU148" s="47" t="s">
        <v>57</v>
      </c>
    </row>
    <row r="149" spans="1:47">
      <c r="A149" s="4" t="s">
        <v>48</v>
      </c>
      <c r="C149" s="21"/>
      <c r="D149" s="22" t="s">
        <v>49</v>
      </c>
      <c r="G149" s="23">
        <v>45084</v>
      </c>
      <c r="H149" s="24" t="s">
        <v>494</v>
      </c>
      <c r="J149" s="28" t="s">
        <v>51</v>
      </c>
      <c r="L149" s="24" t="s">
        <v>495</v>
      </c>
      <c r="M149" s="1" t="str">
        <f>"132404197503014253"</f>
        <v>132404197503014253</v>
      </c>
      <c r="N149" s="24" t="s">
        <v>495</v>
      </c>
      <c r="O149" s="1" t="str">
        <f>"132404197503014253"</f>
        <v>132404197503014253</v>
      </c>
      <c r="P149" s="23" t="s">
        <v>496</v>
      </c>
      <c r="Q149" s="23">
        <v>45085</v>
      </c>
      <c r="R149" s="32">
        <v>45451</v>
      </c>
      <c r="V149" s="33">
        <v>50</v>
      </c>
      <c r="W149" s="28">
        <v>64.29</v>
      </c>
      <c r="X149" s="34" t="s">
        <v>54</v>
      </c>
      <c r="Y149" s="33">
        <v>32.15</v>
      </c>
      <c r="AC149" s="28">
        <v>64.29</v>
      </c>
      <c r="AD149" s="34" t="s">
        <v>54</v>
      </c>
      <c r="AE149" s="33">
        <v>32.15</v>
      </c>
      <c r="AN149" s="7" t="s">
        <v>54</v>
      </c>
      <c r="AO149" s="7" t="s">
        <v>55</v>
      </c>
      <c r="AP149" s="7" t="s">
        <v>56</v>
      </c>
      <c r="AT149" s="47" t="s">
        <v>57</v>
      </c>
      <c r="AU149" s="47" t="s">
        <v>57</v>
      </c>
    </row>
    <row r="150" spans="1:47">
      <c r="A150" s="4" t="s">
        <v>48</v>
      </c>
      <c r="C150" s="21"/>
      <c r="D150" s="22" t="s">
        <v>49</v>
      </c>
      <c r="G150" s="23">
        <v>45083</v>
      </c>
      <c r="H150" s="24" t="s">
        <v>497</v>
      </c>
      <c r="J150" s="28" t="s">
        <v>51</v>
      </c>
      <c r="L150" s="24" t="s">
        <v>420</v>
      </c>
      <c r="M150" s="1" t="str">
        <f>"341202197011110219"</f>
        <v>341202197011110219</v>
      </c>
      <c r="N150" s="24" t="s">
        <v>420</v>
      </c>
      <c r="O150" s="1" t="str">
        <f>"341202197011110219"</f>
        <v>341202197011110219</v>
      </c>
      <c r="P150" s="23" t="s">
        <v>498</v>
      </c>
      <c r="Q150" s="23">
        <v>45084</v>
      </c>
      <c r="R150" s="32">
        <v>45450</v>
      </c>
      <c r="V150" s="33">
        <v>50</v>
      </c>
      <c r="W150" s="28">
        <v>64.29</v>
      </c>
      <c r="X150" s="34" t="s">
        <v>54</v>
      </c>
      <c r="Y150" s="33">
        <v>32.15</v>
      </c>
      <c r="AC150" s="28">
        <v>64.29</v>
      </c>
      <c r="AD150" s="34" t="s">
        <v>54</v>
      </c>
      <c r="AE150" s="33">
        <v>32.15</v>
      </c>
      <c r="AN150" s="7" t="s">
        <v>54</v>
      </c>
      <c r="AO150" s="7" t="s">
        <v>55</v>
      </c>
      <c r="AP150" s="7" t="s">
        <v>56</v>
      </c>
      <c r="AT150" s="47" t="s">
        <v>57</v>
      </c>
      <c r="AU150" s="47" t="s">
        <v>57</v>
      </c>
    </row>
    <row r="151" spans="1:47">
      <c r="A151" s="4" t="s">
        <v>48</v>
      </c>
      <c r="C151" s="21"/>
      <c r="D151" s="22" t="s">
        <v>49</v>
      </c>
      <c r="G151" s="23">
        <v>45096</v>
      </c>
      <c r="H151" s="24" t="s">
        <v>499</v>
      </c>
      <c r="J151" s="28" t="s">
        <v>51</v>
      </c>
      <c r="L151" s="24" t="s">
        <v>500</v>
      </c>
      <c r="M151" s="1" t="str">
        <f>"132425197105218412"</f>
        <v>132425197105218412</v>
      </c>
      <c r="N151" s="24" t="s">
        <v>500</v>
      </c>
      <c r="O151" s="1" t="str">
        <f>"132425197105218412"</f>
        <v>132425197105218412</v>
      </c>
      <c r="P151" s="23" t="s">
        <v>501</v>
      </c>
      <c r="Q151" s="23">
        <v>45280</v>
      </c>
      <c r="R151" s="32">
        <v>45646</v>
      </c>
      <c r="V151" s="33">
        <v>100</v>
      </c>
      <c r="W151" s="28">
        <v>64.29</v>
      </c>
      <c r="X151" s="34" t="s">
        <v>54</v>
      </c>
      <c r="Y151" s="33">
        <v>64.29</v>
      </c>
      <c r="AC151" s="28">
        <v>64.29</v>
      </c>
      <c r="AD151" s="34" t="s">
        <v>54</v>
      </c>
      <c r="AE151" s="33">
        <v>64.29</v>
      </c>
      <c r="AN151" s="7" t="s">
        <v>54</v>
      </c>
      <c r="AO151" s="7" t="s">
        <v>55</v>
      </c>
      <c r="AP151" s="7" t="s">
        <v>56</v>
      </c>
      <c r="AT151" s="47" t="s">
        <v>57</v>
      </c>
      <c r="AU151" s="47" t="s">
        <v>57</v>
      </c>
    </row>
    <row r="152" spans="1:47">
      <c r="A152" s="4" t="s">
        <v>48</v>
      </c>
      <c r="C152" s="21"/>
      <c r="D152" s="22" t="s">
        <v>49</v>
      </c>
      <c r="G152" s="23">
        <v>45097</v>
      </c>
      <c r="H152" s="24" t="s">
        <v>502</v>
      </c>
      <c r="J152" s="28" t="s">
        <v>51</v>
      </c>
      <c r="L152" s="24" t="s">
        <v>503</v>
      </c>
      <c r="M152" s="1" t="str">
        <f>"152103198110270665"</f>
        <v>152103198110270665</v>
      </c>
      <c r="N152" s="24" t="s">
        <v>503</v>
      </c>
      <c r="O152" s="1" t="str">
        <f>"152103198110270665"</f>
        <v>152103198110270665</v>
      </c>
      <c r="P152" s="23" t="s">
        <v>504</v>
      </c>
      <c r="Q152" s="23">
        <v>45098</v>
      </c>
      <c r="R152" s="32">
        <v>45464</v>
      </c>
      <c r="V152" s="33">
        <v>100</v>
      </c>
      <c r="W152" s="28">
        <v>64.29</v>
      </c>
      <c r="X152" s="34" t="s">
        <v>54</v>
      </c>
      <c r="Y152" s="33">
        <v>64.29</v>
      </c>
      <c r="AC152" s="28">
        <v>64.29</v>
      </c>
      <c r="AD152" s="34" t="s">
        <v>54</v>
      </c>
      <c r="AE152" s="33">
        <v>64.29</v>
      </c>
      <c r="AN152" s="7" t="s">
        <v>54</v>
      </c>
      <c r="AO152" s="7" t="s">
        <v>55</v>
      </c>
      <c r="AP152" s="7" t="s">
        <v>56</v>
      </c>
      <c r="AT152" s="47" t="s">
        <v>57</v>
      </c>
      <c r="AU152" s="47" t="s">
        <v>57</v>
      </c>
    </row>
    <row r="153" spans="1:47">
      <c r="A153" s="4" t="s">
        <v>48</v>
      </c>
      <c r="C153" s="21"/>
      <c r="D153" s="22" t="s">
        <v>49</v>
      </c>
      <c r="G153" s="23">
        <v>45096</v>
      </c>
      <c r="H153" s="24" t="s">
        <v>505</v>
      </c>
      <c r="J153" s="28" t="s">
        <v>51</v>
      </c>
      <c r="L153" s="24" t="s">
        <v>506</v>
      </c>
      <c r="M153" s="1" t="str">
        <f>"342101196612082246"</f>
        <v>342101196612082246</v>
      </c>
      <c r="N153" s="24" t="s">
        <v>506</v>
      </c>
      <c r="O153" s="1" t="str">
        <f>"342101196612082246"</f>
        <v>342101196612082246</v>
      </c>
      <c r="P153" s="23" t="s">
        <v>507</v>
      </c>
      <c r="Q153" s="23">
        <v>45219</v>
      </c>
      <c r="R153" s="32">
        <v>45585</v>
      </c>
      <c r="V153" s="33">
        <v>100</v>
      </c>
      <c r="W153" s="28">
        <v>64.29</v>
      </c>
      <c r="X153" s="34" t="s">
        <v>54</v>
      </c>
      <c r="Y153" s="33">
        <v>64.29</v>
      </c>
      <c r="AC153" s="28">
        <v>64.29</v>
      </c>
      <c r="AD153" s="34" t="s">
        <v>54</v>
      </c>
      <c r="AE153" s="33">
        <v>64.29</v>
      </c>
      <c r="AN153" s="7" t="s">
        <v>54</v>
      </c>
      <c r="AO153" s="7" t="s">
        <v>55</v>
      </c>
      <c r="AP153" s="7" t="s">
        <v>56</v>
      </c>
      <c r="AT153" s="47" t="s">
        <v>57</v>
      </c>
      <c r="AU153" s="47" t="s">
        <v>57</v>
      </c>
    </row>
    <row r="154" spans="1:47">
      <c r="A154" s="4" t="s">
        <v>48</v>
      </c>
      <c r="C154" s="21"/>
      <c r="D154" s="22" t="s">
        <v>49</v>
      </c>
      <c r="G154" s="23">
        <v>45094</v>
      </c>
      <c r="H154" s="24" t="s">
        <v>508</v>
      </c>
      <c r="J154" s="28" t="s">
        <v>51</v>
      </c>
      <c r="L154" s="24" t="s">
        <v>509</v>
      </c>
      <c r="M154" s="1" t="str">
        <f>"320722200112216023"</f>
        <v>320722200112216023</v>
      </c>
      <c r="N154" s="24" t="s">
        <v>509</v>
      </c>
      <c r="O154" s="1" t="str">
        <f>"320722200112216023"</f>
        <v>320722200112216023</v>
      </c>
      <c r="P154" s="23" t="s">
        <v>510</v>
      </c>
      <c r="Q154" s="23">
        <v>45095</v>
      </c>
      <c r="R154" s="32">
        <v>45461</v>
      </c>
      <c r="V154" s="33">
        <v>100</v>
      </c>
      <c r="W154" s="28">
        <v>64.29</v>
      </c>
      <c r="X154" s="34" t="s">
        <v>54</v>
      </c>
      <c r="Y154" s="33">
        <v>64.29</v>
      </c>
      <c r="AC154" s="28">
        <v>64.29</v>
      </c>
      <c r="AD154" s="34" t="s">
        <v>54</v>
      </c>
      <c r="AE154" s="33">
        <v>64.29</v>
      </c>
      <c r="AN154" s="7" t="s">
        <v>54</v>
      </c>
      <c r="AO154" s="7" t="s">
        <v>55</v>
      </c>
      <c r="AP154" s="7" t="s">
        <v>56</v>
      </c>
      <c r="AT154" s="47" t="s">
        <v>57</v>
      </c>
      <c r="AU154" s="47" t="s">
        <v>57</v>
      </c>
    </row>
    <row r="155" spans="1:47">
      <c r="A155" s="4" t="s">
        <v>48</v>
      </c>
      <c r="C155" s="21"/>
      <c r="D155" s="22" t="s">
        <v>49</v>
      </c>
      <c r="G155" s="23">
        <v>45085</v>
      </c>
      <c r="H155" s="24" t="s">
        <v>511</v>
      </c>
      <c r="J155" s="28" t="s">
        <v>51</v>
      </c>
      <c r="L155" s="24" t="s">
        <v>512</v>
      </c>
      <c r="M155" s="1" t="str">
        <f>"341221196112011759"</f>
        <v>341221196112011759</v>
      </c>
      <c r="N155" s="24" t="s">
        <v>512</v>
      </c>
      <c r="O155" s="1" t="str">
        <f>"341221196112011759"</f>
        <v>341221196112011759</v>
      </c>
      <c r="P155" s="23" t="s">
        <v>513</v>
      </c>
      <c r="Q155" s="23">
        <v>45296</v>
      </c>
      <c r="R155" s="32">
        <v>45662</v>
      </c>
      <c r="V155" s="33">
        <v>100</v>
      </c>
      <c r="W155" s="28">
        <v>64.29</v>
      </c>
      <c r="X155" s="34" t="s">
        <v>54</v>
      </c>
      <c r="Y155" s="33">
        <v>64.29</v>
      </c>
      <c r="AC155" s="28">
        <v>64.29</v>
      </c>
      <c r="AD155" s="34" t="s">
        <v>54</v>
      </c>
      <c r="AE155" s="33">
        <v>64.29</v>
      </c>
      <c r="AN155" s="7" t="s">
        <v>54</v>
      </c>
      <c r="AO155" s="7" t="s">
        <v>55</v>
      </c>
      <c r="AP155" s="7" t="s">
        <v>56</v>
      </c>
      <c r="AT155" s="47" t="s">
        <v>57</v>
      </c>
      <c r="AU155" s="47" t="s">
        <v>57</v>
      </c>
    </row>
    <row r="156" spans="1:47">
      <c r="A156" s="4" t="s">
        <v>48</v>
      </c>
      <c r="C156" s="21"/>
      <c r="D156" s="22" t="s">
        <v>49</v>
      </c>
      <c r="G156" s="23">
        <v>45083</v>
      </c>
      <c r="H156" s="24" t="s">
        <v>514</v>
      </c>
      <c r="J156" s="28" t="s">
        <v>51</v>
      </c>
      <c r="L156" s="24" t="s">
        <v>515</v>
      </c>
      <c r="M156" s="1" t="str">
        <f>"341221199610092807"</f>
        <v>341221199610092807</v>
      </c>
      <c r="N156" s="24" t="s">
        <v>515</v>
      </c>
      <c r="O156" s="1" t="str">
        <f>"341221199610092807"</f>
        <v>341221199610092807</v>
      </c>
      <c r="P156" s="23" t="s">
        <v>516</v>
      </c>
      <c r="Q156" s="23">
        <v>45267</v>
      </c>
      <c r="R156" s="32">
        <v>45633</v>
      </c>
      <c r="V156" s="33">
        <v>100</v>
      </c>
      <c r="W156" s="28">
        <v>64.29</v>
      </c>
      <c r="X156" s="34" t="s">
        <v>54</v>
      </c>
      <c r="Y156" s="33">
        <v>64.29</v>
      </c>
      <c r="AC156" s="28">
        <v>64.29</v>
      </c>
      <c r="AD156" s="34" t="s">
        <v>54</v>
      </c>
      <c r="AE156" s="33">
        <v>64.29</v>
      </c>
      <c r="AN156" s="7" t="s">
        <v>54</v>
      </c>
      <c r="AO156" s="7" t="s">
        <v>55</v>
      </c>
      <c r="AP156" s="7" t="s">
        <v>56</v>
      </c>
      <c r="AT156" s="47" t="s">
        <v>57</v>
      </c>
      <c r="AU156" s="47" t="s">
        <v>57</v>
      </c>
    </row>
    <row r="157" spans="1:47">
      <c r="A157" s="4" t="s">
        <v>48</v>
      </c>
      <c r="C157" s="21"/>
      <c r="D157" s="22" t="s">
        <v>49</v>
      </c>
      <c r="G157" s="23">
        <v>45083</v>
      </c>
      <c r="H157" s="24" t="s">
        <v>517</v>
      </c>
      <c r="J157" s="28" t="s">
        <v>51</v>
      </c>
      <c r="L157" s="24" t="s">
        <v>518</v>
      </c>
      <c r="M157" s="1" t="str">
        <f>"341221198701098740"</f>
        <v>341221198701098740</v>
      </c>
      <c r="N157" s="24" t="s">
        <v>518</v>
      </c>
      <c r="O157" s="1" t="str">
        <f>"341221198701098740"</f>
        <v>341221198701098740</v>
      </c>
      <c r="P157" s="23" t="s">
        <v>519</v>
      </c>
      <c r="Q157" s="23">
        <v>45084</v>
      </c>
      <c r="R157" s="32">
        <v>45450</v>
      </c>
      <c r="V157" s="33">
        <v>100</v>
      </c>
      <c r="W157" s="28">
        <v>64.29</v>
      </c>
      <c r="X157" s="34" t="s">
        <v>54</v>
      </c>
      <c r="Y157" s="33">
        <v>64.29</v>
      </c>
      <c r="AC157" s="28">
        <v>64.29</v>
      </c>
      <c r="AD157" s="34" t="s">
        <v>54</v>
      </c>
      <c r="AE157" s="33">
        <v>64.29</v>
      </c>
      <c r="AN157" s="7" t="s">
        <v>54</v>
      </c>
      <c r="AO157" s="7" t="s">
        <v>55</v>
      </c>
      <c r="AP157" s="7" t="s">
        <v>56</v>
      </c>
      <c r="AT157" s="47" t="s">
        <v>57</v>
      </c>
      <c r="AU157" s="47" t="s">
        <v>57</v>
      </c>
    </row>
    <row r="158" spans="1:47">
      <c r="A158" s="4" t="s">
        <v>48</v>
      </c>
      <c r="C158" s="21"/>
      <c r="D158" s="22" t="s">
        <v>49</v>
      </c>
      <c r="G158" s="23">
        <v>45084</v>
      </c>
      <c r="H158" s="24" t="s">
        <v>520</v>
      </c>
      <c r="J158" s="28" t="s">
        <v>51</v>
      </c>
      <c r="L158" s="24" t="s">
        <v>521</v>
      </c>
      <c r="M158" s="1" t="str">
        <f>"13282519481205243X"</f>
        <v>13282519481205243X</v>
      </c>
      <c r="N158" s="24" t="s">
        <v>521</v>
      </c>
      <c r="O158" s="1" t="str">
        <f>"13282519481205243X"</f>
        <v>13282519481205243X</v>
      </c>
      <c r="P158" s="23" t="s">
        <v>522</v>
      </c>
      <c r="Q158" s="23">
        <v>45085</v>
      </c>
      <c r="R158" s="32">
        <v>45451</v>
      </c>
      <c r="V158" s="33">
        <v>100</v>
      </c>
      <c r="W158" s="28">
        <v>64.29</v>
      </c>
      <c r="X158" s="34" t="s">
        <v>54</v>
      </c>
      <c r="Y158" s="33">
        <v>64.29</v>
      </c>
      <c r="AC158" s="28">
        <v>64.29</v>
      </c>
      <c r="AD158" s="34" t="s">
        <v>54</v>
      </c>
      <c r="AE158" s="33">
        <v>64.29</v>
      </c>
      <c r="AN158" s="7" t="s">
        <v>54</v>
      </c>
      <c r="AO158" s="7" t="s">
        <v>55</v>
      </c>
      <c r="AP158" s="7" t="s">
        <v>56</v>
      </c>
      <c r="AT158" s="47" t="s">
        <v>57</v>
      </c>
      <c r="AU158" s="47" t="s">
        <v>57</v>
      </c>
    </row>
    <row r="159" spans="1:47">
      <c r="A159" s="4" t="s">
        <v>48</v>
      </c>
      <c r="C159" s="21"/>
      <c r="D159" s="22" t="s">
        <v>49</v>
      </c>
      <c r="G159" s="23">
        <v>45098</v>
      </c>
      <c r="H159" s="24" t="s">
        <v>523</v>
      </c>
      <c r="J159" s="28" t="s">
        <v>51</v>
      </c>
      <c r="L159" s="24" t="s">
        <v>524</v>
      </c>
      <c r="M159" s="1" t="str">
        <f>"341221198807014576"</f>
        <v>341221198807014576</v>
      </c>
      <c r="N159" s="24" t="s">
        <v>524</v>
      </c>
      <c r="O159" s="1" t="str">
        <f>"341221198807014576"</f>
        <v>341221198807014576</v>
      </c>
      <c r="P159" s="23" t="s">
        <v>525</v>
      </c>
      <c r="Q159" s="23">
        <v>45099</v>
      </c>
      <c r="R159" s="32">
        <v>45465</v>
      </c>
      <c r="V159" s="33">
        <v>200</v>
      </c>
      <c r="W159" s="28">
        <v>64.29</v>
      </c>
      <c r="X159" s="34" t="s">
        <v>54</v>
      </c>
      <c r="Y159" s="33">
        <v>128.58</v>
      </c>
      <c r="AC159" s="28">
        <v>64.29</v>
      </c>
      <c r="AD159" s="34" t="s">
        <v>54</v>
      </c>
      <c r="AE159" s="33">
        <v>128.58</v>
      </c>
      <c r="AN159" s="7" t="s">
        <v>54</v>
      </c>
      <c r="AO159" s="7" t="s">
        <v>55</v>
      </c>
      <c r="AP159" s="7" t="s">
        <v>56</v>
      </c>
      <c r="AT159" s="47" t="s">
        <v>57</v>
      </c>
      <c r="AU159" s="47" t="s">
        <v>57</v>
      </c>
    </row>
    <row r="160" spans="1:47">
      <c r="A160" s="4" t="s">
        <v>48</v>
      </c>
      <c r="C160" s="21"/>
      <c r="D160" s="22" t="s">
        <v>49</v>
      </c>
      <c r="G160" s="23">
        <v>45096</v>
      </c>
      <c r="H160" s="24" t="s">
        <v>526</v>
      </c>
      <c r="J160" s="28" t="s">
        <v>51</v>
      </c>
      <c r="L160" s="24" t="s">
        <v>527</v>
      </c>
      <c r="M160" s="1" t="str">
        <f>"132825197104012457"</f>
        <v>132825197104012457</v>
      </c>
      <c r="N160" s="24" t="s">
        <v>527</v>
      </c>
      <c r="O160" s="1" t="str">
        <f>"132825197104012457"</f>
        <v>132825197104012457</v>
      </c>
      <c r="P160" s="23" t="s">
        <v>528</v>
      </c>
      <c r="Q160" s="23">
        <v>45097</v>
      </c>
      <c r="R160" s="32">
        <v>45463</v>
      </c>
      <c r="V160" s="33">
        <v>200</v>
      </c>
      <c r="W160" s="28">
        <v>64.29</v>
      </c>
      <c r="X160" s="34" t="s">
        <v>54</v>
      </c>
      <c r="Y160" s="33">
        <v>128.58</v>
      </c>
      <c r="AC160" s="28">
        <v>64.29</v>
      </c>
      <c r="AD160" s="34" t="s">
        <v>54</v>
      </c>
      <c r="AE160" s="33">
        <v>128.58</v>
      </c>
      <c r="AN160" s="7" t="s">
        <v>54</v>
      </c>
      <c r="AO160" s="7" t="s">
        <v>55</v>
      </c>
      <c r="AP160" s="7" t="s">
        <v>56</v>
      </c>
      <c r="AT160" s="47" t="s">
        <v>57</v>
      </c>
      <c r="AU160" s="47" t="s">
        <v>57</v>
      </c>
    </row>
    <row r="161" spans="1:47">
      <c r="A161" s="4" t="s">
        <v>48</v>
      </c>
      <c r="C161" s="21"/>
      <c r="D161" s="22" t="s">
        <v>49</v>
      </c>
      <c r="G161" s="23">
        <v>45083</v>
      </c>
      <c r="H161" s="24" t="s">
        <v>529</v>
      </c>
      <c r="J161" s="28" t="s">
        <v>51</v>
      </c>
      <c r="L161" s="24" t="s">
        <v>530</v>
      </c>
      <c r="M161" s="1" t="str">
        <f>"341221199004254431"</f>
        <v>341221199004254431</v>
      </c>
      <c r="N161" s="24" t="s">
        <v>530</v>
      </c>
      <c r="O161" s="1" t="str">
        <f>"341221199004254431"</f>
        <v>341221199004254431</v>
      </c>
      <c r="P161" s="23" t="s">
        <v>531</v>
      </c>
      <c r="Q161" s="23">
        <v>45084</v>
      </c>
      <c r="R161" s="32">
        <v>45450</v>
      </c>
      <c r="V161" s="33">
        <v>50</v>
      </c>
      <c r="W161" s="28">
        <v>64.29</v>
      </c>
      <c r="X161" s="34" t="s">
        <v>54</v>
      </c>
      <c r="Y161" s="33">
        <v>32.15</v>
      </c>
      <c r="AC161" s="28">
        <v>64.29</v>
      </c>
      <c r="AD161" s="34" t="s">
        <v>54</v>
      </c>
      <c r="AE161" s="33">
        <v>32.15</v>
      </c>
      <c r="AN161" s="7" t="s">
        <v>54</v>
      </c>
      <c r="AO161" s="7" t="s">
        <v>55</v>
      </c>
      <c r="AP161" s="7" t="s">
        <v>56</v>
      </c>
      <c r="AT161" s="47" t="s">
        <v>57</v>
      </c>
      <c r="AU161" s="47" t="s">
        <v>57</v>
      </c>
    </row>
    <row r="162" spans="1:47">
      <c r="A162" s="4" t="s">
        <v>48</v>
      </c>
      <c r="C162" s="21"/>
      <c r="D162" s="22" t="s">
        <v>49</v>
      </c>
      <c r="G162" s="23">
        <v>45084</v>
      </c>
      <c r="H162" s="24" t="s">
        <v>532</v>
      </c>
      <c r="J162" s="28" t="s">
        <v>51</v>
      </c>
      <c r="L162" s="24" t="s">
        <v>533</v>
      </c>
      <c r="M162" s="1" t="str">
        <f>"131023198505232423"</f>
        <v>131023198505232423</v>
      </c>
      <c r="N162" s="24" t="s">
        <v>533</v>
      </c>
      <c r="O162" s="1" t="str">
        <f>"131023198505232423"</f>
        <v>131023198505232423</v>
      </c>
      <c r="P162" s="23" t="s">
        <v>534</v>
      </c>
      <c r="Q162" s="23">
        <v>45085</v>
      </c>
      <c r="R162" s="32">
        <v>45451</v>
      </c>
      <c r="V162" s="33">
        <v>50</v>
      </c>
      <c r="W162" s="28">
        <v>64.29</v>
      </c>
      <c r="X162" s="34" t="s">
        <v>54</v>
      </c>
      <c r="Y162" s="33">
        <v>32.15</v>
      </c>
      <c r="AC162" s="28">
        <v>64.29</v>
      </c>
      <c r="AD162" s="34" t="s">
        <v>54</v>
      </c>
      <c r="AE162" s="33">
        <v>32.15</v>
      </c>
      <c r="AN162" s="7" t="s">
        <v>54</v>
      </c>
      <c r="AO162" s="7" t="s">
        <v>55</v>
      </c>
      <c r="AP162" s="7" t="s">
        <v>56</v>
      </c>
      <c r="AT162" s="47" t="s">
        <v>57</v>
      </c>
      <c r="AU162" s="47" t="s">
        <v>57</v>
      </c>
    </row>
    <row r="163" spans="1:47">
      <c r="A163" s="4" t="s">
        <v>48</v>
      </c>
      <c r="C163" s="21"/>
      <c r="D163" s="22" t="s">
        <v>49</v>
      </c>
      <c r="G163" s="23">
        <v>45084</v>
      </c>
      <c r="H163" s="24" t="s">
        <v>535</v>
      </c>
      <c r="J163" s="28" t="s">
        <v>51</v>
      </c>
      <c r="L163" s="24" t="s">
        <v>536</v>
      </c>
      <c r="M163" s="1" t="str">
        <f>"342122196504058814"</f>
        <v>342122196504058814</v>
      </c>
      <c r="N163" s="24" t="s">
        <v>536</v>
      </c>
      <c r="O163" s="1" t="str">
        <f>"342122196504058814"</f>
        <v>342122196504058814</v>
      </c>
      <c r="P163" s="23" t="s">
        <v>537</v>
      </c>
      <c r="Q163" s="23">
        <v>45085</v>
      </c>
      <c r="R163" s="32">
        <v>45451</v>
      </c>
      <c r="V163" s="33">
        <v>50</v>
      </c>
      <c r="W163" s="28">
        <v>64.29</v>
      </c>
      <c r="X163" s="34" t="s">
        <v>54</v>
      </c>
      <c r="Y163" s="33">
        <v>32.15</v>
      </c>
      <c r="AC163" s="28">
        <v>64.29</v>
      </c>
      <c r="AD163" s="34" t="s">
        <v>54</v>
      </c>
      <c r="AE163" s="33">
        <v>32.15</v>
      </c>
      <c r="AN163" s="7" t="s">
        <v>54</v>
      </c>
      <c r="AO163" s="7" t="s">
        <v>55</v>
      </c>
      <c r="AP163" s="7" t="s">
        <v>56</v>
      </c>
      <c r="AT163" s="47" t="s">
        <v>57</v>
      </c>
      <c r="AU163" s="47" t="s">
        <v>57</v>
      </c>
    </row>
    <row r="164" spans="1:47">
      <c r="A164" s="4" t="s">
        <v>48</v>
      </c>
      <c r="C164" s="21"/>
      <c r="D164" s="22" t="s">
        <v>49</v>
      </c>
      <c r="G164" s="23">
        <v>45083</v>
      </c>
      <c r="H164" s="24" t="s">
        <v>538</v>
      </c>
      <c r="J164" s="28" t="s">
        <v>51</v>
      </c>
      <c r="L164" s="24" t="s">
        <v>539</v>
      </c>
      <c r="M164" s="1" t="str">
        <f>"132825195402182412"</f>
        <v>132825195402182412</v>
      </c>
      <c r="N164" s="24" t="s">
        <v>539</v>
      </c>
      <c r="O164" s="1" t="str">
        <f>"132825195402182412"</f>
        <v>132825195402182412</v>
      </c>
      <c r="P164" s="23" t="s">
        <v>540</v>
      </c>
      <c r="Q164" s="23">
        <v>45084</v>
      </c>
      <c r="R164" s="32">
        <v>45450</v>
      </c>
      <c r="V164" s="33">
        <v>50</v>
      </c>
      <c r="W164" s="28">
        <v>64.29</v>
      </c>
      <c r="X164" s="34" t="s">
        <v>54</v>
      </c>
      <c r="Y164" s="33">
        <v>32.15</v>
      </c>
      <c r="AC164" s="28">
        <v>64.29</v>
      </c>
      <c r="AD164" s="34" t="s">
        <v>54</v>
      </c>
      <c r="AE164" s="33">
        <v>32.15</v>
      </c>
      <c r="AN164" s="7" t="s">
        <v>54</v>
      </c>
      <c r="AO164" s="7" t="s">
        <v>55</v>
      </c>
      <c r="AP164" s="7" t="s">
        <v>56</v>
      </c>
      <c r="AT164" s="47" t="s">
        <v>57</v>
      </c>
      <c r="AU164" s="47" t="s">
        <v>57</v>
      </c>
    </row>
    <row r="165" spans="1:47">
      <c r="A165" s="4" t="s">
        <v>48</v>
      </c>
      <c r="C165" s="21"/>
      <c r="D165" s="22" t="s">
        <v>49</v>
      </c>
      <c r="G165" s="23">
        <v>45084</v>
      </c>
      <c r="H165" s="24" t="s">
        <v>541</v>
      </c>
      <c r="J165" s="28" t="s">
        <v>51</v>
      </c>
      <c r="L165" s="24" t="s">
        <v>542</v>
      </c>
      <c r="M165" s="1" t="str">
        <f>"132825197605112413"</f>
        <v>132825197605112413</v>
      </c>
      <c r="N165" s="24" t="s">
        <v>542</v>
      </c>
      <c r="O165" s="1" t="str">
        <f>"132825197605112413"</f>
        <v>132825197605112413</v>
      </c>
      <c r="P165" s="23" t="s">
        <v>543</v>
      </c>
      <c r="Q165" s="23">
        <v>45085</v>
      </c>
      <c r="R165" s="32">
        <v>45451</v>
      </c>
      <c r="V165" s="33">
        <v>50</v>
      </c>
      <c r="W165" s="28">
        <v>64.29</v>
      </c>
      <c r="X165" s="34" t="s">
        <v>54</v>
      </c>
      <c r="Y165" s="33">
        <v>32.15</v>
      </c>
      <c r="AC165" s="28">
        <v>64.29</v>
      </c>
      <c r="AD165" s="34" t="s">
        <v>54</v>
      </c>
      <c r="AE165" s="33">
        <v>32.15</v>
      </c>
      <c r="AN165" s="7" t="s">
        <v>54</v>
      </c>
      <c r="AO165" s="7" t="s">
        <v>55</v>
      </c>
      <c r="AP165" s="7" t="s">
        <v>56</v>
      </c>
      <c r="AT165" s="47" t="s">
        <v>57</v>
      </c>
      <c r="AU165" s="47" t="s">
        <v>57</v>
      </c>
    </row>
    <row r="166" spans="1:47">
      <c r="A166" s="4" t="s">
        <v>48</v>
      </c>
      <c r="C166" s="21"/>
      <c r="D166" s="22" t="s">
        <v>49</v>
      </c>
      <c r="G166" s="23">
        <v>45084</v>
      </c>
      <c r="H166" s="24" t="s">
        <v>544</v>
      </c>
      <c r="J166" s="28" t="s">
        <v>51</v>
      </c>
      <c r="L166" s="24" t="s">
        <v>545</v>
      </c>
      <c r="M166" s="1" t="str">
        <f>"132825197310182414"</f>
        <v>132825197310182414</v>
      </c>
      <c r="N166" s="24" t="s">
        <v>545</v>
      </c>
      <c r="O166" s="1" t="str">
        <f>"132825197310182414"</f>
        <v>132825197310182414</v>
      </c>
      <c r="P166" s="23" t="s">
        <v>546</v>
      </c>
      <c r="Q166" s="23">
        <v>45085</v>
      </c>
      <c r="R166" s="32">
        <v>45451</v>
      </c>
      <c r="V166" s="33">
        <v>50</v>
      </c>
      <c r="W166" s="28">
        <v>64.29</v>
      </c>
      <c r="X166" s="34" t="s">
        <v>54</v>
      </c>
      <c r="Y166" s="33">
        <v>32.15</v>
      </c>
      <c r="AC166" s="28">
        <v>64.29</v>
      </c>
      <c r="AD166" s="34" t="s">
        <v>54</v>
      </c>
      <c r="AE166" s="33">
        <v>32.15</v>
      </c>
      <c r="AN166" s="7" t="s">
        <v>54</v>
      </c>
      <c r="AO166" s="7" t="s">
        <v>55</v>
      </c>
      <c r="AP166" s="7" t="s">
        <v>56</v>
      </c>
      <c r="AT166" s="47" t="s">
        <v>57</v>
      </c>
      <c r="AU166" s="47" t="s">
        <v>57</v>
      </c>
    </row>
    <row r="167" spans="1:47">
      <c r="A167" s="4" t="s">
        <v>48</v>
      </c>
      <c r="C167" s="21"/>
      <c r="D167" s="22" t="s">
        <v>49</v>
      </c>
      <c r="G167" s="23">
        <v>45083</v>
      </c>
      <c r="H167" s="24" t="s">
        <v>547</v>
      </c>
      <c r="J167" s="28" t="s">
        <v>51</v>
      </c>
      <c r="L167" s="24" t="s">
        <v>548</v>
      </c>
      <c r="M167" s="1" t="str">
        <f>"341221197508108519"</f>
        <v>341221197508108519</v>
      </c>
      <c r="N167" s="24" t="s">
        <v>548</v>
      </c>
      <c r="O167" s="1" t="str">
        <f>"341221197508108519"</f>
        <v>341221197508108519</v>
      </c>
      <c r="P167" s="23" t="s">
        <v>549</v>
      </c>
      <c r="Q167" s="23">
        <v>45084</v>
      </c>
      <c r="R167" s="32">
        <v>45450</v>
      </c>
      <c r="V167" s="33">
        <v>50</v>
      </c>
      <c r="W167" s="28">
        <v>64.29</v>
      </c>
      <c r="X167" s="34" t="s">
        <v>54</v>
      </c>
      <c r="Y167" s="33">
        <v>32.15</v>
      </c>
      <c r="AC167" s="28">
        <v>64.29</v>
      </c>
      <c r="AD167" s="34" t="s">
        <v>54</v>
      </c>
      <c r="AE167" s="33">
        <v>32.15</v>
      </c>
      <c r="AN167" s="7" t="s">
        <v>54</v>
      </c>
      <c r="AO167" s="7" t="s">
        <v>55</v>
      </c>
      <c r="AP167" s="7" t="s">
        <v>56</v>
      </c>
      <c r="AT167" s="47" t="s">
        <v>57</v>
      </c>
      <c r="AU167" s="47" t="s">
        <v>57</v>
      </c>
    </row>
    <row r="168" spans="1:47">
      <c r="A168" s="4" t="s">
        <v>48</v>
      </c>
      <c r="C168" s="21"/>
      <c r="D168" s="22" t="s">
        <v>49</v>
      </c>
      <c r="G168" s="23">
        <v>45094</v>
      </c>
      <c r="H168" s="24" t="s">
        <v>550</v>
      </c>
      <c r="J168" s="28" t="s">
        <v>51</v>
      </c>
      <c r="L168" s="24" t="s">
        <v>551</v>
      </c>
      <c r="M168" s="1" t="str">
        <f>"341203198704012831"</f>
        <v>341203198704012831</v>
      </c>
      <c r="N168" s="24" t="s">
        <v>551</v>
      </c>
      <c r="O168" s="1" t="str">
        <f>"341203198704012831"</f>
        <v>341203198704012831</v>
      </c>
      <c r="P168" s="23" t="s">
        <v>552</v>
      </c>
      <c r="Q168" s="23">
        <v>45095</v>
      </c>
      <c r="R168" s="32">
        <v>45461</v>
      </c>
      <c r="V168" s="33">
        <v>100</v>
      </c>
      <c r="W168" s="28">
        <v>64.29</v>
      </c>
      <c r="X168" s="34" t="s">
        <v>54</v>
      </c>
      <c r="Y168" s="33">
        <v>64.29</v>
      </c>
      <c r="AC168" s="28">
        <v>64.29</v>
      </c>
      <c r="AD168" s="34" t="s">
        <v>54</v>
      </c>
      <c r="AE168" s="33">
        <v>64.29</v>
      </c>
      <c r="AN168" s="7" t="s">
        <v>54</v>
      </c>
      <c r="AO168" s="7" t="s">
        <v>55</v>
      </c>
      <c r="AP168" s="7" t="s">
        <v>56</v>
      </c>
      <c r="AT168" s="47" t="s">
        <v>57</v>
      </c>
      <c r="AU168" s="47" t="s">
        <v>57</v>
      </c>
    </row>
    <row r="169" spans="1:47">
      <c r="A169" s="4" t="s">
        <v>48</v>
      </c>
      <c r="C169" s="21"/>
      <c r="D169" s="22" t="s">
        <v>49</v>
      </c>
      <c r="G169" s="23">
        <v>45093</v>
      </c>
      <c r="H169" s="24" t="s">
        <v>553</v>
      </c>
      <c r="J169" s="28" t="s">
        <v>51</v>
      </c>
      <c r="L169" s="24" t="s">
        <v>554</v>
      </c>
      <c r="M169" s="1" t="str">
        <f>"34122119850611379X"</f>
        <v>34122119850611379X</v>
      </c>
      <c r="N169" s="24" t="s">
        <v>554</v>
      </c>
      <c r="O169" s="1" t="str">
        <f>"34122119850611379X"</f>
        <v>34122119850611379X</v>
      </c>
      <c r="P169" s="23" t="s">
        <v>555</v>
      </c>
      <c r="Q169" s="23">
        <v>45216</v>
      </c>
      <c r="R169" s="32">
        <v>45582</v>
      </c>
      <c r="V169" s="33">
        <v>100</v>
      </c>
      <c r="W169" s="28">
        <v>64.29</v>
      </c>
      <c r="X169" s="34" t="s">
        <v>54</v>
      </c>
      <c r="Y169" s="33">
        <v>64.29</v>
      </c>
      <c r="AC169" s="28">
        <v>64.29</v>
      </c>
      <c r="AD169" s="34" t="s">
        <v>54</v>
      </c>
      <c r="AE169" s="33">
        <v>64.29</v>
      </c>
      <c r="AN169" s="7" t="s">
        <v>54</v>
      </c>
      <c r="AO169" s="7" t="s">
        <v>55</v>
      </c>
      <c r="AP169" s="7" t="s">
        <v>56</v>
      </c>
      <c r="AT169" s="47" t="s">
        <v>57</v>
      </c>
      <c r="AU169" s="47" t="s">
        <v>57</v>
      </c>
    </row>
    <row r="170" spans="1:47">
      <c r="A170" s="4" t="s">
        <v>48</v>
      </c>
      <c r="C170" s="21"/>
      <c r="D170" s="22" t="s">
        <v>49</v>
      </c>
      <c r="G170" s="23">
        <v>45096</v>
      </c>
      <c r="H170" s="24" t="s">
        <v>556</v>
      </c>
      <c r="J170" s="28" t="s">
        <v>51</v>
      </c>
      <c r="L170" s="24" t="s">
        <v>557</v>
      </c>
      <c r="M170" s="1" t="str">
        <f>"142724199604113720"</f>
        <v>142724199604113720</v>
      </c>
      <c r="N170" s="24" t="s">
        <v>557</v>
      </c>
      <c r="O170" s="1" t="str">
        <f>"142724199604113720"</f>
        <v>142724199604113720</v>
      </c>
      <c r="P170" s="23" t="s">
        <v>558</v>
      </c>
      <c r="Q170" s="23">
        <v>45127</v>
      </c>
      <c r="R170" s="32">
        <v>45493</v>
      </c>
      <c r="V170" s="33">
        <v>100</v>
      </c>
      <c r="W170" s="28">
        <v>64.29</v>
      </c>
      <c r="X170" s="34" t="s">
        <v>54</v>
      </c>
      <c r="Y170" s="33">
        <v>64.29</v>
      </c>
      <c r="AC170" s="28">
        <v>64.29</v>
      </c>
      <c r="AD170" s="34" t="s">
        <v>54</v>
      </c>
      <c r="AE170" s="33">
        <v>64.29</v>
      </c>
      <c r="AN170" s="7" t="s">
        <v>54</v>
      </c>
      <c r="AO170" s="7" t="s">
        <v>55</v>
      </c>
      <c r="AP170" s="7" t="s">
        <v>56</v>
      </c>
      <c r="AT170" s="47" t="s">
        <v>57</v>
      </c>
      <c r="AU170" s="47" t="s">
        <v>57</v>
      </c>
    </row>
    <row r="171" spans="1:47">
      <c r="A171" s="4" t="s">
        <v>48</v>
      </c>
      <c r="C171" s="21"/>
      <c r="D171" s="22" t="s">
        <v>49</v>
      </c>
      <c r="G171" s="23">
        <v>45084</v>
      </c>
      <c r="H171" s="24" t="s">
        <v>559</v>
      </c>
      <c r="J171" s="28" t="s">
        <v>51</v>
      </c>
      <c r="L171" s="24" t="s">
        <v>560</v>
      </c>
      <c r="M171" s="1" t="str">
        <f>"341221198709134128"</f>
        <v>341221198709134128</v>
      </c>
      <c r="N171" s="24" t="s">
        <v>560</v>
      </c>
      <c r="O171" s="1" t="str">
        <f>"341221198709134128"</f>
        <v>341221198709134128</v>
      </c>
      <c r="P171" s="23" t="s">
        <v>561</v>
      </c>
      <c r="Q171" s="23">
        <v>45146</v>
      </c>
      <c r="R171" s="32">
        <v>45512</v>
      </c>
      <c r="V171" s="33">
        <v>100</v>
      </c>
      <c r="W171" s="28">
        <v>64.29</v>
      </c>
      <c r="X171" s="34" t="s">
        <v>54</v>
      </c>
      <c r="Y171" s="33">
        <v>64.29</v>
      </c>
      <c r="AC171" s="28">
        <v>64.29</v>
      </c>
      <c r="AD171" s="34" t="s">
        <v>54</v>
      </c>
      <c r="AE171" s="33">
        <v>64.29</v>
      </c>
      <c r="AN171" s="7" t="s">
        <v>54</v>
      </c>
      <c r="AO171" s="7" t="s">
        <v>55</v>
      </c>
      <c r="AP171" s="7" t="s">
        <v>56</v>
      </c>
      <c r="AT171" s="47" t="s">
        <v>57</v>
      </c>
      <c r="AU171" s="47" t="s">
        <v>57</v>
      </c>
    </row>
    <row r="172" spans="1:47">
      <c r="A172" s="4" t="s">
        <v>48</v>
      </c>
      <c r="C172" s="21"/>
      <c r="D172" s="22" t="s">
        <v>49</v>
      </c>
      <c r="G172" s="23">
        <v>45083</v>
      </c>
      <c r="H172" s="24" t="s">
        <v>562</v>
      </c>
      <c r="J172" s="28" t="s">
        <v>51</v>
      </c>
      <c r="L172" s="24" t="s">
        <v>563</v>
      </c>
      <c r="M172" s="1" t="str">
        <f>"341226197006121627"</f>
        <v>341226197006121627</v>
      </c>
      <c r="N172" s="24" t="s">
        <v>563</v>
      </c>
      <c r="O172" s="1" t="str">
        <f>"341226197006121627"</f>
        <v>341226197006121627</v>
      </c>
      <c r="P172" s="23" t="s">
        <v>564</v>
      </c>
      <c r="Q172" s="23">
        <v>45084</v>
      </c>
      <c r="R172" s="32">
        <v>45450</v>
      </c>
      <c r="V172" s="33">
        <v>100</v>
      </c>
      <c r="W172" s="28">
        <v>64.29</v>
      </c>
      <c r="X172" s="34" t="s">
        <v>54</v>
      </c>
      <c r="Y172" s="33">
        <v>64.29</v>
      </c>
      <c r="AC172" s="28">
        <v>64.29</v>
      </c>
      <c r="AD172" s="34" t="s">
        <v>54</v>
      </c>
      <c r="AE172" s="33">
        <v>64.29</v>
      </c>
      <c r="AN172" s="7" t="s">
        <v>54</v>
      </c>
      <c r="AO172" s="7" t="s">
        <v>55</v>
      </c>
      <c r="AP172" s="7" t="s">
        <v>56</v>
      </c>
      <c r="AT172" s="47" t="s">
        <v>57</v>
      </c>
      <c r="AU172" s="47" t="s">
        <v>57</v>
      </c>
    </row>
    <row r="173" spans="1:47">
      <c r="A173" s="4" t="s">
        <v>48</v>
      </c>
      <c r="C173" s="21"/>
      <c r="D173" s="22" t="s">
        <v>49</v>
      </c>
      <c r="G173" s="23">
        <v>45084</v>
      </c>
      <c r="H173" s="24" t="s">
        <v>565</v>
      </c>
      <c r="J173" s="28" t="s">
        <v>51</v>
      </c>
      <c r="L173" s="24" t="s">
        <v>566</v>
      </c>
      <c r="M173" s="1" t="str">
        <f>"131028199601030027"</f>
        <v>131028199601030027</v>
      </c>
      <c r="N173" s="24" t="s">
        <v>566</v>
      </c>
      <c r="O173" s="1" t="str">
        <f>"131028199601030027"</f>
        <v>131028199601030027</v>
      </c>
      <c r="P173" s="23" t="s">
        <v>567</v>
      </c>
      <c r="Q173" s="23">
        <v>45146</v>
      </c>
      <c r="R173" s="32">
        <v>45512</v>
      </c>
      <c r="V173" s="33">
        <v>100</v>
      </c>
      <c r="W173" s="28">
        <v>64.29</v>
      </c>
      <c r="X173" s="34" t="s">
        <v>54</v>
      </c>
      <c r="Y173" s="33">
        <v>64.29</v>
      </c>
      <c r="AC173" s="28">
        <v>64.29</v>
      </c>
      <c r="AD173" s="34" t="s">
        <v>54</v>
      </c>
      <c r="AE173" s="33">
        <v>64.29</v>
      </c>
      <c r="AN173" s="7" t="s">
        <v>54</v>
      </c>
      <c r="AO173" s="7" t="s">
        <v>55</v>
      </c>
      <c r="AP173" s="7" t="s">
        <v>56</v>
      </c>
      <c r="AT173" s="47" t="s">
        <v>57</v>
      </c>
      <c r="AU173" s="47" t="s">
        <v>57</v>
      </c>
    </row>
    <row r="174" spans="1:47">
      <c r="A174" s="4" t="s">
        <v>48</v>
      </c>
      <c r="C174" s="21"/>
      <c r="D174" s="22" t="s">
        <v>49</v>
      </c>
      <c r="G174" s="23">
        <v>45098</v>
      </c>
      <c r="H174" s="24" t="s">
        <v>568</v>
      </c>
      <c r="J174" s="28" t="s">
        <v>51</v>
      </c>
      <c r="L174" s="24" t="s">
        <v>569</v>
      </c>
      <c r="M174" s="1" t="str">
        <f>"341203199009034419"</f>
        <v>341203199009034419</v>
      </c>
      <c r="N174" s="24" t="s">
        <v>569</v>
      </c>
      <c r="O174" s="1" t="str">
        <f>"341203199009034419"</f>
        <v>341203199009034419</v>
      </c>
      <c r="P174" s="23" t="s">
        <v>570</v>
      </c>
      <c r="Q174" s="23">
        <v>45099</v>
      </c>
      <c r="R174" s="32">
        <v>45465</v>
      </c>
      <c r="V174" s="33">
        <v>200</v>
      </c>
      <c r="W174" s="28">
        <v>64.29</v>
      </c>
      <c r="X174" s="34" t="s">
        <v>54</v>
      </c>
      <c r="Y174" s="33">
        <v>128.58</v>
      </c>
      <c r="AC174" s="28">
        <v>64.29</v>
      </c>
      <c r="AD174" s="34" t="s">
        <v>54</v>
      </c>
      <c r="AE174" s="33">
        <v>128.58</v>
      </c>
      <c r="AN174" s="7" t="s">
        <v>54</v>
      </c>
      <c r="AO174" s="7" t="s">
        <v>55</v>
      </c>
      <c r="AP174" s="7" t="s">
        <v>56</v>
      </c>
      <c r="AT174" s="47" t="s">
        <v>57</v>
      </c>
      <c r="AU174" s="47" t="s">
        <v>57</v>
      </c>
    </row>
    <row r="175" spans="1:47">
      <c r="A175" s="4" t="s">
        <v>48</v>
      </c>
      <c r="C175" s="21"/>
      <c r="D175" s="22" t="s">
        <v>49</v>
      </c>
      <c r="G175" s="23">
        <v>45096</v>
      </c>
      <c r="H175" s="24" t="s">
        <v>571</v>
      </c>
      <c r="J175" s="28" t="s">
        <v>51</v>
      </c>
      <c r="L175" s="24" t="s">
        <v>572</v>
      </c>
      <c r="M175" s="1" t="str">
        <f>"342130198008152616"</f>
        <v>342130198008152616</v>
      </c>
      <c r="N175" s="24" t="s">
        <v>572</v>
      </c>
      <c r="O175" s="1" t="str">
        <f>"342130198008152616"</f>
        <v>342130198008152616</v>
      </c>
      <c r="P175" s="23" t="s">
        <v>573</v>
      </c>
      <c r="Q175" s="23">
        <v>45161</v>
      </c>
      <c r="R175" s="32">
        <v>45527</v>
      </c>
      <c r="V175" s="33">
        <v>200</v>
      </c>
      <c r="W175" s="28">
        <v>64.29</v>
      </c>
      <c r="X175" s="34" t="s">
        <v>54</v>
      </c>
      <c r="Y175" s="33">
        <v>128.58</v>
      </c>
      <c r="AC175" s="28">
        <v>64.29</v>
      </c>
      <c r="AD175" s="34" t="s">
        <v>54</v>
      </c>
      <c r="AE175" s="33">
        <v>128.58</v>
      </c>
      <c r="AN175" s="7" t="s">
        <v>54</v>
      </c>
      <c r="AO175" s="7" t="s">
        <v>55</v>
      </c>
      <c r="AP175" s="7" t="s">
        <v>56</v>
      </c>
      <c r="AT175" s="47" t="s">
        <v>57</v>
      </c>
      <c r="AU175" s="47" t="s">
        <v>57</v>
      </c>
    </row>
    <row r="176" spans="1:47">
      <c r="A176" s="4" t="s">
        <v>48</v>
      </c>
      <c r="C176" s="21"/>
      <c r="D176" s="22" t="s">
        <v>49</v>
      </c>
      <c r="G176" s="23">
        <v>45096</v>
      </c>
      <c r="H176" s="24" t="s">
        <v>574</v>
      </c>
      <c r="J176" s="28" t="s">
        <v>51</v>
      </c>
      <c r="L176" s="24" t="s">
        <v>575</v>
      </c>
      <c r="M176" s="1" t="str">
        <f>"341221198802042308"</f>
        <v>341221198802042308</v>
      </c>
      <c r="N176" s="24" t="s">
        <v>575</v>
      </c>
      <c r="O176" s="1" t="str">
        <f>"341221198802042308"</f>
        <v>341221198802042308</v>
      </c>
      <c r="P176" s="23" t="s">
        <v>576</v>
      </c>
      <c r="Q176" s="23">
        <v>45230</v>
      </c>
      <c r="R176" s="32">
        <v>45596</v>
      </c>
      <c r="V176" s="33">
        <v>200</v>
      </c>
      <c r="W176" s="28">
        <v>64.29</v>
      </c>
      <c r="X176" s="34" t="s">
        <v>54</v>
      </c>
      <c r="Y176" s="33">
        <v>128.58</v>
      </c>
      <c r="AC176" s="28">
        <v>64.29</v>
      </c>
      <c r="AD176" s="34" t="s">
        <v>54</v>
      </c>
      <c r="AE176" s="33">
        <v>128.58</v>
      </c>
      <c r="AN176" s="7" t="s">
        <v>54</v>
      </c>
      <c r="AO176" s="7" t="s">
        <v>55</v>
      </c>
      <c r="AP176" s="7" t="s">
        <v>56</v>
      </c>
      <c r="AT176" s="47" t="s">
        <v>57</v>
      </c>
      <c r="AU176" s="47" t="s">
        <v>57</v>
      </c>
    </row>
    <row r="177" spans="1:47">
      <c r="A177" s="4" t="s">
        <v>48</v>
      </c>
      <c r="C177" s="21"/>
      <c r="D177" s="22" t="s">
        <v>49</v>
      </c>
      <c r="G177" s="23">
        <v>45079</v>
      </c>
      <c r="H177" s="24" t="s">
        <v>577</v>
      </c>
      <c r="J177" s="28" t="s">
        <v>51</v>
      </c>
      <c r="L177" s="24" t="s">
        <v>578</v>
      </c>
      <c r="M177" s="1" t="str">
        <f>"341202199503012155"</f>
        <v>341202199503012155</v>
      </c>
      <c r="N177" s="24" t="s">
        <v>578</v>
      </c>
      <c r="O177" s="1" t="str">
        <f>"341202199503012155"</f>
        <v>341202199503012155</v>
      </c>
      <c r="P177" s="23" t="s">
        <v>579</v>
      </c>
      <c r="Q177" s="23">
        <v>45080</v>
      </c>
      <c r="R177" s="32">
        <v>45446</v>
      </c>
      <c r="V177" s="33">
        <v>50</v>
      </c>
      <c r="W177" s="28">
        <v>64.29</v>
      </c>
      <c r="X177" s="34" t="s">
        <v>54</v>
      </c>
      <c r="Y177" s="33">
        <v>32.15</v>
      </c>
      <c r="AC177" s="28">
        <v>64.29</v>
      </c>
      <c r="AD177" s="34" t="s">
        <v>54</v>
      </c>
      <c r="AE177" s="33">
        <v>32.15</v>
      </c>
      <c r="AN177" s="7" t="s">
        <v>54</v>
      </c>
      <c r="AO177" s="7" t="s">
        <v>55</v>
      </c>
      <c r="AP177" s="7" t="s">
        <v>56</v>
      </c>
      <c r="AT177" s="47" t="s">
        <v>57</v>
      </c>
      <c r="AU177" s="47" t="s">
        <v>57</v>
      </c>
    </row>
    <row r="178" spans="1:47">
      <c r="A178" s="4" t="s">
        <v>48</v>
      </c>
      <c r="C178" s="21"/>
      <c r="D178" s="22" t="s">
        <v>49</v>
      </c>
      <c r="G178" s="23">
        <v>45080</v>
      </c>
      <c r="H178" s="24" t="s">
        <v>580</v>
      </c>
      <c r="J178" s="28" t="s">
        <v>51</v>
      </c>
      <c r="L178" s="24" t="s">
        <v>581</v>
      </c>
      <c r="M178" s="1" t="str">
        <f>"341221198607023128"</f>
        <v>341221198607023128</v>
      </c>
      <c r="N178" s="24" t="s">
        <v>581</v>
      </c>
      <c r="O178" s="1" t="str">
        <f>"341221198607023128"</f>
        <v>341221198607023128</v>
      </c>
      <c r="P178" s="23" t="s">
        <v>582</v>
      </c>
      <c r="Q178" s="23">
        <v>45081</v>
      </c>
      <c r="R178" s="32">
        <v>45447</v>
      </c>
      <c r="V178" s="33">
        <v>50</v>
      </c>
      <c r="W178" s="28">
        <v>64.29</v>
      </c>
      <c r="X178" s="34" t="s">
        <v>54</v>
      </c>
      <c r="Y178" s="33">
        <v>32.15</v>
      </c>
      <c r="AC178" s="28">
        <v>64.29</v>
      </c>
      <c r="AD178" s="34" t="s">
        <v>54</v>
      </c>
      <c r="AE178" s="33">
        <v>32.15</v>
      </c>
      <c r="AN178" s="7" t="s">
        <v>54</v>
      </c>
      <c r="AO178" s="7" t="s">
        <v>55</v>
      </c>
      <c r="AP178" s="7" t="s">
        <v>56</v>
      </c>
      <c r="AT178" s="47" t="s">
        <v>57</v>
      </c>
      <c r="AU178" s="47" t="s">
        <v>57</v>
      </c>
    </row>
    <row r="179" spans="1:47">
      <c r="A179" s="4" t="s">
        <v>48</v>
      </c>
      <c r="C179" s="21"/>
      <c r="D179" s="22" t="s">
        <v>49</v>
      </c>
      <c r="G179" s="23">
        <v>45079</v>
      </c>
      <c r="H179" s="24" t="s">
        <v>583</v>
      </c>
      <c r="J179" s="28" t="s">
        <v>51</v>
      </c>
      <c r="L179" s="24" t="s">
        <v>584</v>
      </c>
      <c r="M179" s="1" t="str">
        <f>"412827199509201546"</f>
        <v>412827199509201546</v>
      </c>
      <c r="N179" s="24" t="s">
        <v>584</v>
      </c>
      <c r="O179" s="1" t="str">
        <f>"412827199509201546"</f>
        <v>412827199509201546</v>
      </c>
      <c r="P179" s="23" t="s">
        <v>585</v>
      </c>
      <c r="Q179" s="23">
        <v>45290</v>
      </c>
      <c r="R179" s="32">
        <v>45656</v>
      </c>
      <c r="V179" s="33">
        <v>50</v>
      </c>
      <c r="W179" s="28">
        <v>64.29</v>
      </c>
      <c r="X179" s="34" t="s">
        <v>54</v>
      </c>
      <c r="Y179" s="33">
        <v>32.15</v>
      </c>
      <c r="AC179" s="28">
        <v>64.29</v>
      </c>
      <c r="AD179" s="34" t="s">
        <v>54</v>
      </c>
      <c r="AE179" s="33">
        <v>32.15</v>
      </c>
      <c r="AN179" s="7" t="s">
        <v>54</v>
      </c>
      <c r="AO179" s="7" t="s">
        <v>55</v>
      </c>
      <c r="AP179" s="7" t="s">
        <v>56</v>
      </c>
      <c r="AT179" s="47" t="s">
        <v>57</v>
      </c>
      <c r="AU179" s="47" t="s">
        <v>57</v>
      </c>
    </row>
    <row r="180" spans="1:47">
      <c r="A180" s="4" t="s">
        <v>48</v>
      </c>
      <c r="C180" s="21"/>
      <c r="D180" s="22" t="s">
        <v>49</v>
      </c>
      <c r="G180" s="23">
        <v>45080</v>
      </c>
      <c r="H180" s="24" t="s">
        <v>586</v>
      </c>
      <c r="J180" s="28" t="s">
        <v>51</v>
      </c>
      <c r="L180" s="24" t="s">
        <v>587</v>
      </c>
      <c r="M180" s="1" t="str">
        <f>"341221198807037081"</f>
        <v>341221198807037081</v>
      </c>
      <c r="N180" s="24" t="s">
        <v>587</v>
      </c>
      <c r="O180" s="1" t="str">
        <f>"341221198807037081"</f>
        <v>341221198807037081</v>
      </c>
      <c r="P180" s="23" t="s">
        <v>588</v>
      </c>
      <c r="Q180" s="23">
        <v>45081</v>
      </c>
      <c r="R180" s="32">
        <v>45447</v>
      </c>
      <c r="V180" s="33">
        <v>50</v>
      </c>
      <c r="W180" s="28">
        <v>64.29</v>
      </c>
      <c r="X180" s="34" t="s">
        <v>54</v>
      </c>
      <c r="Y180" s="33">
        <v>32.15</v>
      </c>
      <c r="AC180" s="28">
        <v>64.29</v>
      </c>
      <c r="AD180" s="34" t="s">
        <v>54</v>
      </c>
      <c r="AE180" s="33">
        <v>32.15</v>
      </c>
      <c r="AN180" s="7" t="s">
        <v>54</v>
      </c>
      <c r="AO180" s="7" t="s">
        <v>55</v>
      </c>
      <c r="AP180" s="7" t="s">
        <v>56</v>
      </c>
      <c r="AT180" s="47" t="s">
        <v>57</v>
      </c>
      <c r="AU180" s="47" t="s">
        <v>57</v>
      </c>
    </row>
    <row r="181" spans="1:47">
      <c r="A181" s="4" t="s">
        <v>48</v>
      </c>
      <c r="C181" s="21"/>
      <c r="D181" s="22" t="s">
        <v>49</v>
      </c>
      <c r="G181" s="23">
        <v>45093</v>
      </c>
      <c r="H181" s="24" t="s">
        <v>589</v>
      </c>
      <c r="J181" s="28" t="s">
        <v>51</v>
      </c>
      <c r="L181" s="24" t="s">
        <v>590</v>
      </c>
      <c r="M181" s="1" t="str">
        <f>"341221199507013541"</f>
        <v>341221199507013541</v>
      </c>
      <c r="N181" s="24" t="s">
        <v>590</v>
      </c>
      <c r="O181" s="1" t="str">
        <f>"341221199507013541"</f>
        <v>341221199507013541</v>
      </c>
      <c r="P181" s="23" t="s">
        <v>591</v>
      </c>
      <c r="Q181" s="23">
        <v>45094</v>
      </c>
      <c r="R181" s="32">
        <v>45460</v>
      </c>
      <c r="V181" s="33">
        <v>100</v>
      </c>
      <c r="W181" s="28">
        <v>64.29</v>
      </c>
      <c r="X181" s="34" t="s">
        <v>54</v>
      </c>
      <c r="Y181" s="33">
        <v>64.29</v>
      </c>
      <c r="AC181" s="28">
        <v>64.29</v>
      </c>
      <c r="AD181" s="34" t="s">
        <v>54</v>
      </c>
      <c r="AE181" s="33">
        <v>64.29</v>
      </c>
      <c r="AN181" s="7" t="s">
        <v>54</v>
      </c>
      <c r="AO181" s="7" t="s">
        <v>55</v>
      </c>
      <c r="AP181" s="7" t="s">
        <v>56</v>
      </c>
      <c r="AT181" s="47" t="s">
        <v>57</v>
      </c>
      <c r="AU181" s="47" t="s">
        <v>57</v>
      </c>
    </row>
    <row r="182" spans="1:47">
      <c r="A182" s="4" t="s">
        <v>48</v>
      </c>
      <c r="C182" s="21"/>
      <c r="D182" s="22" t="s">
        <v>49</v>
      </c>
      <c r="G182" s="23">
        <v>45093</v>
      </c>
      <c r="H182" s="24" t="s">
        <v>592</v>
      </c>
      <c r="J182" s="28" t="s">
        <v>51</v>
      </c>
      <c r="L182" s="24" t="s">
        <v>593</v>
      </c>
      <c r="M182" s="1" t="str">
        <f>"34122119830121524X"</f>
        <v>34122119830121524X</v>
      </c>
      <c r="N182" s="24" t="s">
        <v>593</v>
      </c>
      <c r="O182" s="1" t="str">
        <f>"34122119830121524X"</f>
        <v>34122119830121524X</v>
      </c>
      <c r="P182" s="23" t="s">
        <v>594</v>
      </c>
      <c r="Q182" s="23">
        <v>45216</v>
      </c>
      <c r="R182" s="32">
        <v>45582</v>
      </c>
      <c r="V182" s="33">
        <v>100</v>
      </c>
      <c r="W182" s="28">
        <v>64.29</v>
      </c>
      <c r="X182" s="34" t="s">
        <v>54</v>
      </c>
      <c r="Y182" s="33">
        <v>64.29</v>
      </c>
      <c r="AC182" s="28">
        <v>64.29</v>
      </c>
      <c r="AD182" s="34" t="s">
        <v>54</v>
      </c>
      <c r="AE182" s="33">
        <v>64.29</v>
      </c>
      <c r="AN182" s="7" t="s">
        <v>54</v>
      </c>
      <c r="AO182" s="7" t="s">
        <v>55</v>
      </c>
      <c r="AP182" s="7" t="s">
        <v>56</v>
      </c>
      <c r="AT182" s="47" t="s">
        <v>57</v>
      </c>
      <c r="AU182" s="47" t="s">
        <v>57</v>
      </c>
    </row>
    <row r="183" spans="1:47">
      <c r="A183" s="4" t="s">
        <v>48</v>
      </c>
      <c r="C183" s="21"/>
      <c r="D183" s="22" t="s">
        <v>49</v>
      </c>
      <c r="G183" s="23">
        <v>45093</v>
      </c>
      <c r="H183" s="24" t="s">
        <v>595</v>
      </c>
      <c r="J183" s="28" t="s">
        <v>51</v>
      </c>
      <c r="L183" s="24" t="s">
        <v>596</v>
      </c>
      <c r="M183" s="1" t="str">
        <f>"341203199106011577"</f>
        <v>341203199106011577</v>
      </c>
      <c r="N183" s="24" t="s">
        <v>596</v>
      </c>
      <c r="O183" s="1" t="str">
        <f>"341203199106011577"</f>
        <v>341203199106011577</v>
      </c>
      <c r="P183" s="23" t="s">
        <v>597</v>
      </c>
      <c r="Q183" s="23">
        <v>45094</v>
      </c>
      <c r="R183" s="32">
        <v>45460</v>
      </c>
      <c r="V183" s="33">
        <v>100</v>
      </c>
      <c r="W183" s="28">
        <v>64.29</v>
      </c>
      <c r="X183" s="34" t="s">
        <v>54</v>
      </c>
      <c r="Y183" s="33">
        <v>64.29</v>
      </c>
      <c r="AC183" s="28">
        <v>64.29</v>
      </c>
      <c r="AD183" s="34" t="s">
        <v>54</v>
      </c>
      <c r="AE183" s="33">
        <v>64.29</v>
      </c>
      <c r="AN183" s="7" t="s">
        <v>54</v>
      </c>
      <c r="AO183" s="7" t="s">
        <v>55</v>
      </c>
      <c r="AP183" s="7" t="s">
        <v>56</v>
      </c>
      <c r="AT183" s="47" t="s">
        <v>57</v>
      </c>
      <c r="AU183" s="47" t="s">
        <v>57</v>
      </c>
    </row>
    <row r="184" spans="1:47">
      <c r="A184" s="4" t="s">
        <v>48</v>
      </c>
      <c r="C184" s="21"/>
      <c r="D184" s="22" t="s">
        <v>49</v>
      </c>
      <c r="G184" s="23">
        <v>45093</v>
      </c>
      <c r="H184" s="24" t="s">
        <v>598</v>
      </c>
      <c r="J184" s="28" t="s">
        <v>51</v>
      </c>
      <c r="L184" s="24" t="s">
        <v>342</v>
      </c>
      <c r="M184" s="1" t="str">
        <f>"341221196708111291"</f>
        <v>341221196708111291</v>
      </c>
      <c r="N184" s="24" t="s">
        <v>342</v>
      </c>
      <c r="O184" s="1" t="str">
        <f>"341221196708111291"</f>
        <v>341221196708111291</v>
      </c>
      <c r="P184" s="23" t="s">
        <v>599</v>
      </c>
      <c r="Q184" s="23">
        <v>45170</v>
      </c>
      <c r="R184" s="32">
        <v>45536</v>
      </c>
      <c r="V184" s="33">
        <v>100</v>
      </c>
      <c r="W184" s="28">
        <v>64.29</v>
      </c>
      <c r="X184" s="34" t="s">
        <v>54</v>
      </c>
      <c r="Y184" s="33">
        <v>64.29</v>
      </c>
      <c r="AC184" s="28">
        <v>64.29</v>
      </c>
      <c r="AD184" s="34" t="s">
        <v>54</v>
      </c>
      <c r="AE184" s="33">
        <v>64.29</v>
      </c>
      <c r="AN184" s="7" t="s">
        <v>54</v>
      </c>
      <c r="AO184" s="7" t="s">
        <v>55</v>
      </c>
      <c r="AP184" s="7" t="s">
        <v>56</v>
      </c>
      <c r="AT184" s="47" t="s">
        <v>57</v>
      </c>
      <c r="AU184" s="47" t="s">
        <v>57</v>
      </c>
    </row>
    <row r="185" spans="1:47">
      <c r="A185" s="4" t="s">
        <v>48</v>
      </c>
      <c r="C185" s="21"/>
      <c r="D185" s="22" t="s">
        <v>49</v>
      </c>
      <c r="G185" s="23">
        <v>45082</v>
      </c>
      <c r="H185" s="24" t="s">
        <v>600</v>
      </c>
      <c r="J185" s="28" t="s">
        <v>51</v>
      </c>
      <c r="L185" s="24" t="s">
        <v>601</v>
      </c>
      <c r="M185" s="1" t="str">
        <f>"341221199205103445"</f>
        <v>341221199205103445</v>
      </c>
      <c r="N185" s="24" t="s">
        <v>601</v>
      </c>
      <c r="O185" s="1" t="str">
        <f>"341221199205103445"</f>
        <v>341221199205103445</v>
      </c>
      <c r="P185" s="23" t="s">
        <v>602</v>
      </c>
      <c r="Q185" s="23">
        <v>45083</v>
      </c>
      <c r="R185" s="32">
        <v>45449</v>
      </c>
      <c r="V185" s="33">
        <v>100</v>
      </c>
      <c r="W185" s="28">
        <v>64.29</v>
      </c>
      <c r="X185" s="34" t="s">
        <v>54</v>
      </c>
      <c r="Y185" s="33">
        <v>64.29</v>
      </c>
      <c r="AC185" s="28">
        <v>64.29</v>
      </c>
      <c r="AD185" s="34" t="s">
        <v>54</v>
      </c>
      <c r="AE185" s="33">
        <v>64.29</v>
      </c>
      <c r="AN185" s="7" t="s">
        <v>54</v>
      </c>
      <c r="AO185" s="7" t="s">
        <v>55</v>
      </c>
      <c r="AP185" s="7" t="s">
        <v>56</v>
      </c>
      <c r="AT185" s="47" t="s">
        <v>57</v>
      </c>
      <c r="AU185" s="47" t="s">
        <v>57</v>
      </c>
    </row>
    <row r="186" spans="1:47">
      <c r="A186" s="4" t="s">
        <v>48</v>
      </c>
      <c r="C186" s="21"/>
      <c r="D186" s="22" t="s">
        <v>49</v>
      </c>
      <c r="G186" s="23">
        <v>45084</v>
      </c>
      <c r="H186" s="24" t="s">
        <v>603</v>
      </c>
      <c r="J186" s="28" t="s">
        <v>51</v>
      </c>
      <c r="L186" s="24" t="s">
        <v>604</v>
      </c>
      <c r="M186" s="1" t="str">
        <f>"34120319830111151X"</f>
        <v>34120319830111151X</v>
      </c>
      <c r="N186" s="24" t="s">
        <v>604</v>
      </c>
      <c r="O186" s="1" t="str">
        <f>"34120319830111151X"</f>
        <v>34120319830111151X</v>
      </c>
      <c r="P186" s="23" t="s">
        <v>605</v>
      </c>
      <c r="Q186" s="23">
        <v>45085</v>
      </c>
      <c r="R186" s="32">
        <v>45451</v>
      </c>
      <c r="V186" s="33">
        <v>100</v>
      </c>
      <c r="W186" s="28">
        <v>64.29</v>
      </c>
      <c r="X186" s="34" t="s">
        <v>54</v>
      </c>
      <c r="Y186" s="33">
        <v>64.29</v>
      </c>
      <c r="AC186" s="28">
        <v>64.29</v>
      </c>
      <c r="AD186" s="34" t="s">
        <v>54</v>
      </c>
      <c r="AE186" s="33">
        <v>64.29</v>
      </c>
      <c r="AN186" s="7" t="s">
        <v>54</v>
      </c>
      <c r="AO186" s="7" t="s">
        <v>55</v>
      </c>
      <c r="AP186" s="7" t="s">
        <v>56</v>
      </c>
      <c r="AT186" s="47" t="s">
        <v>57</v>
      </c>
      <c r="AU186" s="47" t="s">
        <v>57</v>
      </c>
    </row>
    <row r="187" spans="1:47">
      <c r="A187" s="4" t="s">
        <v>48</v>
      </c>
      <c r="C187" s="21"/>
      <c r="D187" s="22" t="s">
        <v>49</v>
      </c>
      <c r="G187" s="23">
        <v>45093</v>
      </c>
      <c r="H187" s="24" t="s">
        <v>606</v>
      </c>
      <c r="J187" s="28" t="s">
        <v>51</v>
      </c>
      <c r="L187" s="24" t="s">
        <v>607</v>
      </c>
      <c r="M187" s="1" t="str">
        <f>"342122197209101247"</f>
        <v>342122197209101247</v>
      </c>
      <c r="N187" s="24" t="s">
        <v>607</v>
      </c>
      <c r="O187" s="1" t="str">
        <f>"342122197209101247"</f>
        <v>342122197209101247</v>
      </c>
      <c r="P187" s="23" t="s">
        <v>608</v>
      </c>
      <c r="Q187" s="23">
        <v>45094</v>
      </c>
      <c r="R187" s="32">
        <v>45460</v>
      </c>
      <c r="V187" s="33">
        <v>200</v>
      </c>
      <c r="W187" s="28">
        <v>64.29</v>
      </c>
      <c r="X187" s="34" t="s">
        <v>54</v>
      </c>
      <c r="Y187" s="33">
        <v>128.58</v>
      </c>
      <c r="AC187" s="28">
        <v>64.29</v>
      </c>
      <c r="AD187" s="34" t="s">
        <v>54</v>
      </c>
      <c r="AE187" s="33">
        <v>128.58</v>
      </c>
      <c r="AN187" s="7" t="s">
        <v>54</v>
      </c>
      <c r="AO187" s="7" t="s">
        <v>55</v>
      </c>
      <c r="AP187" s="7" t="s">
        <v>56</v>
      </c>
      <c r="AT187" s="47" t="s">
        <v>57</v>
      </c>
      <c r="AU187" s="47" t="s">
        <v>57</v>
      </c>
    </row>
    <row r="188" spans="1:47">
      <c r="A188" s="4" t="s">
        <v>48</v>
      </c>
      <c r="C188" s="21"/>
      <c r="D188" s="22" t="s">
        <v>49</v>
      </c>
      <c r="G188" s="23">
        <v>45093</v>
      </c>
      <c r="H188" s="24" t="s">
        <v>609</v>
      </c>
      <c r="J188" s="28" t="s">
        <v>51</v>
      </c>
      <c r="L188" s="24" t="s">
        <v>610</v>
      </c>
      <c r="M188" s="1" t="str">
        <f>"341203200405052219"</f>
        <v>341203200405052219</v>
      </c>
      <c r="N188" s="24" t="s">
        <v>610</v>
      </c>
      <c r="O188" s="1" t="str">
        <f>"341203200405052219"</f>
        <v>341203200405052219</v>
      </c>
      <c r="P188" s="23" t="s">
        <v>611</v>
      </c>
      <c r="Q188" s="23">
        <v>45094</v>
      </c>
      <c r="R188" s="32">
        <v>45460</v>
      </c>
      <c r="V188" s="33">
        <v>200</v>
      </c>
      <c r="W188" s="28">
        <v>64.29</v>
      </c>
      <c r="X188" s="34" t="s">
        <v>54</v>
      </c>
      <c r="Y188" s="33">
        <v>128.58</v>
      </c>
      <c r="AC188" s="28">
        <v>64.29</v>
      </c>
      <c r="AD188" s="34" t="s">
        <v>54</v>
      </c>
      <c r="AE188" s="33">
        <v>128.58</v>
      </c>
      <c r="AN188" s="7" t="s">
        <v>54</v>
      </c>
      <c r="AO188" s="7" t="s">
        <v>55</v>
      </c>
      <c r="AP188" s="7" t="s">
        <v>56</v>
      </c>
      <c r="AT188" s="47" t="s">
        <v>57</v>
      </c>
      <c r="AU188" s="47" t="s">
        <v>57</v>
      </c>
    </row>
    <row r="189" spans="1:47">
      <c r="A189" s="4" t="s">
        <v>48</v>
      </c>
      <c r="C189" s="21"/>
      <c r="D189" s="22" t="s">
        <v>49</v>
      </c>
      <c r="G189" s="23">
        <v>45096</v>
      </c>
      <c r="H189" s="24" t="s">
        <v>612</v>
      </c>
      <c r="J189" s="28" t="s">
        <v>51</v>
      </c>
      <c r="L189" s="24" t="s">
        <v>613</v>
      </c>
      <c r="M189" s="1" t="str">
        <f>"34122119850102443X"</f>
        <v>34122119850102443X</v>
      </c>
      <c r="N189" s="24" t="s">
        <v>613</v>
      </c>
      <c r="O189" s="1" t="str">
        <f>"34122119850102443X"</f>
        <v>34122119850102443X</v>
      </c>
      <c r="P189" s="23" t="s">
        <v>614</v>
      </c>
      <c r="Q189" s="23">
        <v>45097</v>
      </c>
      <c r="R189" s="32">
        <v>45463</v>
      </c>
      <c r="V189" s="33">
        <v>200</v>
      </c>
      <c r="W189" s="28">
        <v>64.29</v>
      </c>
      <c r="X189" s="34" t="s">
        <v>54</v>
      </c>
      <c r="Y189" s="33">
        <v>128.58</v>
      </c>
      <c r="AC189" s="28">
        <v>64.29</v>
      </c>
      <c r="AD189" s="34" t="s">
        <v>54</v>
      </c>
      <c r="AE189" s="33">
        <v>128.58</v>
      </c>
      <c r="AN189" s="7" t="s">
        <v>54</v>
      </c>
      <c r="AO189" s="7" t="s">
        <v>55</v>
      </c>
      <c r="AP189" s="7" t="s">
        <v>56</v>
      </c>
      <c r="AT189" s="47" t="s">
        <v>57</v>
      </c>
      <c r="AU189" s="47" t="s">
        <v>57</v>
      </c>
    </row>
    <row r="190" spans="1:47">
      <c r="A190" s="4" t="s">
        <v>48</v>
      </c>
      <c r="C190" s="21"/>
      <c r="D190" s="22" t="s">
        <v>49</v>
      </c>
      <c r="G190" s="23">
        <v>45081</v>
      </c>
      <c r="H190" s="24" t="s">
        <v>615</v>
      </c>
      <c r="J190" s="28" t="s">
        <v>51</v>
      </c>
      <c r="L190" s="24" t="s">
        <v>616</v>
      </c>
      <c r="M190" s="1" t="str">
        <f>"341203199010014300"</f>
        <v>341203199010014300</v>
      </c>
      <c r="N190" s="24" t="s">
        <v>616</v>
      </c>
      <c r="O190" s="1" t="str">
        <f>"341203199010014300"</f>
        <v>341203199010014300</v>
      </c>
      <c r="P190" s="23" t="s">
        <v>617</v>
      </c>
      <c r="Q190" s="23">
        <v>45082</v>
      </c>
      <c r="R190" s="32">
        <v>45448</v>
      </c>
      <c r="V190" s="33">
        <v>50</v>
      </c>
      <c r="W190" s="28">
        <v>64.29</v>
      </c>
      <c r="X190" s="34" t="s">
        <v>54</v>
      </c>
      <c r="Y190" s="33">
        <v>32.15</v>
      </c>
      <c r="AC190" s="28">
        <v>64.29</v>
      </c>
      <c r="AD190" s="34" t="s">
        <v>54</v>
      </c>
      <c r="AE190" s="33">
        <v>32.15</v>
      </c>
      <c r="AN190" s="7" t="s">
        <v>54</v>
      </c>
      <c r="AO190" s="7" t="s">
        <v>55</v>
      </c>
      <c r="AP190" s="7" t="s">
        <v>56</v>
      </c>
      <c r="AT190" s="47" t="s">
        <v>57</v>
      </c>
      <c r="AU190" s="47" t="s">
        <v>57</v>
      </c>
    </row>
    <row r="191" spans="1:47">
      <c r="A191" s="4" t="s">
        <v>48</v>
      </c>
      <c r="C191" s="21"/>
      <c r="D191" s="22" t="s">
        <v>49</v>
      </c>
      <c r="G191" s="23">
        <v>45082</v>
      </c>
      <c r="H191" s="24" t="s">
        <v>618</v>
      </c>
      <c r="J191" s="28" t="s">
        <v>51</v>
      </c>
      <c r="L191" s="24" t="s">
        <v>619</v>
      </c>
      <c r="M191" s="1" t="str">
        <f>"341223198710204763"</f>
        <v>341223198710204763</v>
      </c>
      <c r="N191" s="24" t="s">
        <v>619</v>
      </c>
      <c r="O191" s="1" t="str">
        <f>"341223198710204763"</f>
        <v>341223198710204763</v>
      </c>
      <c r="P191" s="23" t="s">
        <v>620</v>
      </c>
      <c r="Q191" s="23">
        <v>45083</v>
      </c>
      <c r="R191" s="32">
        <v>45449</v>
      </c>
      <c r="V191" s="33">
        <v>50</v>
      </c>
      <c r="W191" s="28">
        <v>64.29</v>
      </c>
      <c r="X191" s="34" t="s">
        <v>54</v>
      </c>
      <c r="Y191" s="33">
        <v>32.15</v>
      </c>
      <c r="AC191" s="28">
        <v>64.29</v>
      </c>
      <c r="AD191" s="34" t="s">
        <v>54</v>
      </c>
      <c r="AE191" s="33">
        <v>32.15</v>
      </c>
      <c r="AN191" s="7" t="s">
        <v>54</v>
      </c>
      <c r="AO191" s="7" t="s">
        <v>55</v>
      </c>
      <c r="AP191" s="7" t="s">
        <v>56</v>
      </c>
      <c r="AT191" s="47" t="s">
        <v>57</v>
      </c>
      <c r="AU191" s="47" t="s">
        <v>57</v>
      </c>
    </row>
    <row r="192" spans="1:47">
      <c r="A192" s="4" t="s">
        <v>48</v>
      </c>
      <c r="C192" s="21"/>
      <c r="D192" s="22" t="s">
        <v>49</v>
      </c>
      <c r="G192" s="23">
        <v>45078</v>
      </c>
      <c r="H192" s="24" t="s">
        <v>621</v>
      </c>
      <c r="J192" s="28" t="s">
        <v>51</v>
      </c>
      <c r="L192" s="24" t="s">
        <v>622</v>
      </c>
      <c r="M192" s="1" t="str">
        <f>"34122619690408216X"</f>
        <v>34122619690408216X</v>
      </c>
      <c r="N192" s="24" t="s">
        <v>622</v>
      </c>
      <c r="O192" s="1" t="str">
        <f>"34122619690408216X"</f>
        <v>34122619690408216X</v>
      </c>
      <c r="P192" s="23" t="s">
        <v>623</v>
      </c>
      <c r="Q192" s="23">
        <v>45079</v>
      </c>
      <c r="R192" s="32">
        <v>45445</v>
      </c>
      <c r="V192" s="33">
        <v>50</v>
      </c>
      <c r="W192" s="28">
        <v>64.29</v>
      </c>
      <c r="X192" s="34" t="s">
        <v>54</v>
      </c>
      <c r="Y192" s="33">
        <v>32.15</v>
      </c>
      <c r="AC192" s="28">
        <v>64.29</v>
      </c>
      <c r="AD192" s="34" t="s">
        <v>54</v>
      </c>
      <c r="AE192" s="33">
        <v>32.15</v>
      </c>
      <c r="AN192" s="7" t="s">
        <v>54</v>
      </c>
      <c r="AO192" s="7" t="s">
        <v>55</v>
      </c>
      <c r="AP192" s="7" t="s">
        <v>56</v>
      </c>
      <c r="AT192" s="47" t="s">
        <v>57</v>
      </c>
      <c r="AU192" s="47" t="s">
        <v>57</v>
      </c>
    </row>
    <row r="193" spans="1:47">
      <c r="A193" s="4" t="s">
        <v>48</v>
      </c>
      <c r="C193" s="21"/>
      <c r="D193" s="22" t="s">
        <v>49</v>
      </c>
      <c r="G193" s="23">
        <v>45078</v>
      </c>
      <c r="H193" s="24" t="s">
        <v>624</v>
      </c>
      <c r="J193" s="28" t="s">
        <v>51</v>
      </c>
      <c r="L193" s="24" t="s">
        <v>625</v>
      </c>
      <c r="M193" s="1" t="str">
        <f>"341204199010231053"</f>
        <v>341204199010231053</v>
      </c>
      <c r="N193" s="24" t="s">
        <v>625</v>
      </c>
      <c r="O193" s="1" t="str">
        <f>"341204199010231053"</f>
        <v>341204199010231053</v>
      </c>
      <c r="P193" s="23" t="s">
        <v>626</v>
      </c>
      <c r="Q193" s="23">
        <v>45079</v>
      </c>
      <c r="R193" s="32">
        <v>45445</v>
      </c>
      <c r="V193" s="33">
        <v>50</v>
      </c>
      <c r="W193" s="28">
        <v>64.29</v>
      </c>
      <c r="X193" s="34" t="s">
        <v>54</v>
      </c>
      <c r="Y193" s="33">
        <v>32.15</v>
      </c>
      <c r="AC193" s="28">
        <v>64.29</v>
      </c>
      <c r="AD193" s="34" t="s">
        <v>54</v>
      </c>
      <c r="AE193" s="33">
        <v>32.15</v>
      </c>
      <c r="AN193" s="7" t="s">
        <v>54</v>
      </c>
      <c r="AO193" s="7" t="s">
        <v>55</v>
      </c>
      <c r="AP193" s="7" t="s">
        <v>56</v>
      </c>
      <c r="AT193" s="47" t="s">
        <v>57</v>
      </c>
      <c r="AU193" s="47" t="s">
        <v>57</v>
      </c>
    </row>
    <row r="194" spans="1:47">
      <c r="A194" s="4" t="s">
        <v>48</v>
      </c>
      <c r="C194" s="21"/>
      <c r="D194" s="22" t="s">
        <v>49</v>
      </c>
      <c r="G194" s="23">
        <v>45096</v>
      </c>
      <c r="H194" s="24" t="s">
        <v>627</v>
      </c>
      <c r="J194" s="28" t="s">
        <v>51</v>
      </c>
      <c r="L194" s="24" t="s">
        <v>628</v>
      </c>
      <c r="M194" s="1" t="str">
        <f>"132825196610132430"</f>
        <v>132825196610132430</v>
      </c>
      <c r="N194" s="24" t="s">
        <v>628</v>
      </c>
      <c r="O194" s="1" t="str">
        <f>"132825196610132430"</f>
        <v>132825196610132430</v>
      </c>
      <c r="P194" s="23" t="s">
        <v>629</v>
      </c>
      <c r="Q194" s="23">
        <v>45250</v>
      </c>
      <c r="R194" s="32">
        <v>45616</v>
      </c>
      <c r="V194" s="33">
        <v>100</v>
      </c>
      <c r="W194" s="28">
        <v>64.29</v>
      </c>
      <c r="X194" s="34" t="s">
        <v>54</v>
      </c>
      <c r="Y194" s="33">
        <v>64.29</v>
      </c>
      <c r="AC194" s="28">
        <v>64.29</v>
      </c>
      <c r="AD194" s="34" t="s">
        <v>54</v>
      </c>
      <c r="AE194" s="33">
        <v>64.29</v>
      </c>
      <c r="AN194" s="7" t="s">
        <v>54</v>
      </c>
      <c r="AO194" s="7" t="s">
        <v>55</v>
      </c>
      <c r="AP194" s="7" t="s">
        <v>56</v>
      </c>
      <c r="AT194" s="47" t="s">
        <v>57</v>
      </c>
      <c r="AU194" s="47" t="s">
        <v>57</v>
      </c>
    </row>
    <row r="195" spans="1:47">
      <c r="A195" s="4" t="s">
        <v>48</v>
      </c>
      <c r="C195" s="21"/>
      <c r="D195" s="22" t="s">
        <v>49</v>
      </c>
      <c r="G195" s="23">
        <v>45095</v>
      </c>
      <c r="H195" s="24" t="s">
        <v>630</v>
      </c>
      <c r="J195" s="28" t="s">
        <v>51</v>
      </c>
      <c r="L195" s="24" t="s">
        <v>631</v>
      </c>
      <c r="M195" s="1" t="str">
        <f>"341204199010231053"</f>
        <v>341204199010231053</v>
      </c>
      <c r="N195" s="24" t="s">
        <v>631</v>
      </c>
      <c r="O195" s="1" t="str">
        <f>"341204199010231053"</f>
        <v>341204199010231053</v>
      </c>
      <c r="P195" s="23" t="s">
        <v>626</v>
      </c>
      <c r="Q195" s="23">
        <v>45096</v>
      </c>
      <c r="R195" s="32">
        <v>45462</v>
      </c>
      <c r="V195" s="33">
        <v>100</v>
      </c>
      <c r="W195" s="28">
        <v>64.29</v>
      </c>
      <c r="X195" s="34" t="s">
        <v>54</v>
      </c>
      <c r="Y195" s="33">
        <v>64.29</v>
      </c>
      <c r="AC195" s="28">
        <v>64.29</v>
      </c>
      <c r="AD195" s="34" t="s">
        <v>54</v>
      </c>
      <c r="AE195" s="33">
        <v>64.29</v>
      </c>
      <c r="AN195" s="7" t="s">
        <v>54</v>
      </c>
      <c r="AO195" s="7" t="s">
        <v>55</v>
      </c>
      <c r="AP195" s="7" t="s">
        <v>56</v>
      </c>
      <c r="AT195" s="47" t="s">
        <v>57</v>
      </c>
      <c r="AU195" s="47" t="s">
        <v>57</v>
      </c>
    </row>
    <row r="196" spans="1:47">
      <c r="A196" s="4" t="s">
        <v>48</v>
      </c>
      <c r="C196" s="21"/>
      <c r="D196" s="22" t="s">
        <v>49</v>
      </c>
      <c r="G196" s="23">
        <v>45094</v>
      </c>
      <c r="H196" s="24" t="s">
        <v>632</v>
      </c>
      <c r="J196" s="28" t="s">
        <v>51</v>
      </c>
      <c r="L196" s="24" t="s">
        <v>633</v>
      </c>
      <c r="M196" s="1" t="str">
        <f>"132825197010262412"</f>
        <v>132825197010262412</v>
      </c>
      <c r="N196" s="24" t="s">
        <v>633</v>
      </c>
      <c r="O196" s="1" t="str">
        <f>"132825197010262412"</f>
        <v>132825197010262412</v>
      </c>
      <c r="P196" s="23" t="s">
        <v>634</v>
      </c>
      <c r="Q196" s="23">
        <v>45095</v>
      </c>
      <c r="R196" s="32">
        <v>45461</v>
      </c>
      <c r="V196" s="33">
        <v>100</v>
      </c>
      <c r="W196" s="28">
        <v>64.29</v>
      </c>
      <c r="X196" s="34" t="s">
        <v>54</v>
      </c>
      <c r="Y196" s="33">
        <v>64.29</v>
      </c>
      <c r="AC196" s="28">
        <v>64.29</v>
      </c>
      <c r="AD196" s="34" t="s">
        <v>54</v>
      </c>
      <c r="AE196" s="33">
        <v>64.29</v>
      </c>
      <c r="AN196" s="7" t="s">
        <v>54</v>
      </c>
      <c r="AO196" s="7" t="s">
        <v>55</v>
      </c>
      <c r="AP196" s="7" t="s">
        <v>56</v>
      </c>
      <c r="AT196" s="47" t="s">
        <v>57</v>
      </c>
      <c r="AU196" s="47" t="s">
        <v>57</v>
      </c>
    </row>
    <row r="197" spans="1:47">
      <c r="A197" s="4" t="s">
        <v>48</v>
      </c>
      <c r="C197" s="21"/>
      <c r="D197" s="22" t="s">
        <v>49</v>
      </c>
      <c r="G197" s="23">
        <v>45093</v>
      </c>
      <c r="H197" s="24" t="s">
        <v>635</v>
      </c>
      <c r="J197" s="28" t="s">
        <v>51</v>
      </c>
      <c r="L197" s="24" t="s">
        <v>636</v>
      </c>
      <c r="M197" s="1" t="str">
        <f>"341204198705052217"</f>
        <v>341204198705052217</v>
      </c>
      <c r="N197" s="24" t="s">
        <v>636</v>
      </c>
      <c r="O197" s="1" t="str">
        <f>"341204198705052217"</f>
        <v>341204198705052217</v>
      </c>
      <c r="P197" s="23" t="s">
        <v>637</v>
      </c>
      <c r="Q197" s="23">
        <v>45304</v>
      </c>
      <c r="R197" s="32">
        <v>45670</v>
      </c>
      <c r="V197" s="33">
        <v>100</v>
      </c>
      <c r="W197" s="28">
        <v>64.29</v>
      </c>
      <c r="X197" s="34" t="s">
        <v>54</v>
      </c>
      <c r="Y197" s="33">
        <v>64.29</v>
      </c>
      <c r="AC197" s="28">
        <v>64.29</v>
      </c>
      <c r="AD197" s="34" t="s">
        <v>54</v>
      </c>
      <c r="AE197" s="33">
        <v>64.29</v>
      </c>
      <c r="AN197" s="7" t="s">
        <v>54</v>
      </c>
      <c r="AO197" s="7" t="s">
        <v>55</v>
      </c>
      <c r="AP197" s="7" t="s">
        <v>56</v>
      </c>
      <c r="AT197" s="47" t="s">
        <v>57</v>
      </c>
      <c r="AU197" s="47" t="s">
        <v>57</v>
      </c>
    </row>
    <row r="198" spans="1:47">
      <c r="A198" s="4" t="s">
        <v>48</v>
      </c>
      <c r="C198" s="21"/>
      <c r="D198" s="22" t="s">
        <v>49</v>
      </c>
      <c r="G198" s="23">
        <v>45093</v>
      </c>
      <c r="H198" s="24" t="s">
        <v>638</v>
      </c>
      <c r="J198" s="28" t="s">
        <v>51</v>
      </c>
      <c r="L198" s="24" t="s">
        <v>639</v>
      </c>
      <c r="M198" s="1" t="str">
        <f>"132825195804052418"</f>
        <v>132825195804052418</v>
      </c>
      <c r="N198" s="24" t="s">
        <v>639</v>
      </c>
      <c r="O198" s="1" t="str">
        <f>"132825195804052418"</f>
        <v>132825195804052418</v>
      </c>
      <c r="P198" s="23" t="s">
        <v>640</v>
      </c>
      <c r="Q198" s="23">
        <v>45094</v>
      </c>
      <c r="R198" s="32">
        <v>45460</v>
      </c>
      <c r="V198" s="33">
        <v>100</v>
      </c>
      <c r="W198" s="28">
        <v>64.29</v>
      </c>
      <c r="X198" s="34" t="s">
        <v>54</v>
      </c>
      <c r="Y198" s="33">
        <v>64.29</v>
      </c>
      <c r="AC198" s="28">
        <v>64.29</v>
      </c>
      <c r="AD198" s="34" t="s">
        <v>54</v>
      </c>
      <c r="AE198" s="33">
        <v>64.29</v>
      </c>
      <c r="AN198" s="7" t="s">
        <v>54</v>
      </c>
      <c r="AO198" s="7" t="s">
        <v>55</v>
      </c>
      <c r="AP198" s="7" t="s">
        <v>56</v>
      </c>
      <c r="AT198" s="47" t="s">
        <v>57</v>
      </c>
      <c r="AU198" s="47" t="s">
        <v>57</v>
      </c>
    </row>
    <row r="199" spans="1:47">
      <c r="A199" s="4" t="s">
        <v>48</v>
      </c>
      <c r="C199" s="21"/>
      <c r="D199" s="22" t="s">
        <v>49</v>
      </c>
      <c r="G199" s="23">
        <v>45085</v>
      </c>
      <c r="H199" s="24" t="s">
        <v>641</v>
      </c>
      <c r="J199" s="28" t="s">
        <v>51</v>
      </c>
      <c r="L199" s="24" t="s">
        <v>642</v>
      </c>
      <c r="M199" s="1" t="str">
        <f>"341221199601230614"</f>
        <v>341221199601230614</v>
      </c>
      <c r="N199" s="24" t="s">
        <v>642</v>
      </c>
      <c r="O199" s="1" t="str">
        <f>"341221199601230614"</f>
        <v>341221199601230614</v>
      </c>
      <c r="P199" s="23" t="s">
        <v>643</v>
      </c>
      <c r="Q199" s="23">
        <v>45097</v>
      </c>
      <c r="R199" s="32">
        <v>45463</v>
      </c>
      <c r="V199" s="33">
        <v>100</v>
      </c>
      <c r="W199" s="28">
        <v>64.29</v>
      </c>
      <c r="X199" s="34" t="s">
        <v>54</v>
      </c>
      <c r="Y199" s="33">
        <v>64.29</v>
      </c>
      <c r="AC199" s="28">
        <v>64.29</v>
      </c>
      <c r="AD199" s="34" t="s">
        <v>54</v>
      </c>
      <c r="AE199" s="33">
        <v>64.29</v>
      </c>
      <c r="AN199" s="7" t="s">
        <v>54</v>
      </c>
      <c r="AO199" s="7" t="s">
        <v>55</v>
      </c>
      <c r="AP199" s="7" t="s">
        <v>56</v>
      </c>
      <c r="AT199" s="47" t="s">
        <v>57</v>
      </c>
      <c r="AU199" s="47" t="s">
        <v>57</v>
      </c>
    </row>
    <row r="200" spans="1:47">
      <c r="A200" s="4" t="s">
        <v>48</v>
      </c>
      <c r="C200" s="21"/>
      <c r="D200" s="22" t="s">
        <v>49</v>
      </c>
      <c r="G200" s="23">
        <v>45084</v>
      </c>
      <c r="H200" s="24" t="s">
        <v>644</v>
      </c>
      <c r="J200" s="28" t="s">
        <v>51</v>
      </c>
      <c r="L200" s="24" t="s">
        <v>645</v>
      </c>
      <c r="M200" s="1" t="str">
        <f>"341223198706081326"</f>
        <v>341223198706081326</v>
      </c>
      <c r="N200" s="24" t="s">
        <v>645</v>
      </c>
      <c r="O200" s="1" t="str">
        <f>"341223198706081326"</f>
        <v>341223198706081326</v>
      </c>
      <c r="P200" s="23" t="s">
        <v>646</v>
      </c>
      <c r="Q200" s="23">
        <v>45115</v>
      </c>
      <c r="R200" s="32">
        <v>45481</v>
      </c>
      <c r="V200" s="33">
        <v>100</v>
      </c>
      <c r="W200" s="28">
        <v>64.29</v>
      </c>
      <c r="X200" s="34" t="s">
        <v>54</v>
      </c>
      <c r="Y200" s="33">
        <v>64.29</v>
      </c>
      <c r="AC200" s="28">
        <v>64.29</v>
      </c>
      <c r="AD200" s="34" t="s">
        <v>54</v>
      </c>
      <c r="AE200" s="33">
        <v>64.29</v>
      </c>
      <c r="AN200" s="7" t="s">
        <v>54</v>
      </c>
      <c r="AO200" s="7" t="s">
        <v>55</v>
      </c>
      <c r="AP200" s="7" t="s">
        <v>56</v>
      </c>
      <c r="AT200" s="47" t="s">
        <v>57</v>
      </c>
      <c r="AU200" s="47" t="s">
        <v>57</v>
      </c>
    </row>
    <row r="201" spans="1:47">
      <c r="A201" s="4" t="s">
        <v>48</v>
      </c>
      <c r="C201" s="21"/>
      <c r="D201" s="22" t="s">
        <v>49</v>
      </c>
      <c r="G201" s="23">
        <v>45084</v>
      </c>
      <c r="H201" s="24" t="s">
        <v>647</v>
      </c>
      <c r="J201" s="28" t="s">
        <v>51</v>
      </c>
      <c r="L201" s="24" t="s">
        <v>648</v>
      </c>
      <c r="M201" s="1" t="str">
        <f>"341204198102101059"</f>
        <v>341204198102101059</v>
      </c>
      <c r="N201" s="24" t="s">
        <v>648</v>
      </c>
      <c r="O201" s="1" t="str">
        <f>"341204198102101059"</f>
        <v>341204198102101059</v>
      </c>
      <c r="P201" s="23" t="s">
        <v>649</v>
      </c>
      <c r="Q201" s="23">
        <v>45268</v>
      </c>
      <c r="R201" s="32">
        <v>45634</v>
      </c>
      <c r="V201" s="33">
        <v>100</v>
      </c>
      <c r="W201" s="28">
        <v>64.29</v>
      </c>
      <c r="X201" s="34" t="s">
        <v>54</v>
      </c>
      <c r="Y201" s="33">
        <v>64.29</v>
      </c>
      <c r="AC201" s="28">
        <v>64.29</v>
      </c>
      <c r="AD201" s="34" t="s">
        <v>54</v>
      </c>
      <c r="AE201" s="33">
        <v>64.29</v>
      </c>
      <c r="AN201" s="7" t="s">
        <v>54</v>
      </c>
      <c r="AO201" s="7" t="s">
        <v>55</v>
      </c>
      <c r="AP201" s="7" t="s">
        <v>56</v>
      </c>
      <c r="AT201" s="47" t="s">
        <v>57</v>
      </c>
      <c r="AU201" s="47" t="s">
        <v>57</v>
      </c>
    </row>
    <row r="202" spans="1:47">
      <c r="A202" s="4" t="s">
        <v>48</v>
      </c>
      <c r="C202" s="21"/>
      <c r="D202" s="22" t="s">
        <v>49</v>
      </c>
      <c r="G202" s="23">
        <v>45084</v>
      </c>
      <c r="H202" s="24" t="s">
        <v>650</v>
      </c>
      <c r="J202" s="28" t="s">
        <v>51</v>
      </c>
      <c r="L202" s="24" t="s">
        <v>651</v>
      </c>
      <c r="M202" s="1" t="str">
        <f>"342122196610058850"</f>
        <v>342122196610058850</v>
      </c>
      <c r="N202" s="24" t="s">
        <v>651</v>
      </c>
      <c r="O202" s="1" t="str">
        <f>"342122196610058850"</f>
        <v>342122196610058850</v>
      </c>
      <c r="P202" s="23" t="s">
        <v>652</v>
      </c>
      <c r="Q202" s="23">
        <v>45085</v>
      </c>
      <c r="R202" s="32">
        <v>45451</v>
      </c>
      <c r="V202" s="33">
        <v>100</v>
      </c>
      <c r="W202" s="28">
        <v>64.29</v>
      </c>
      <c r="X202" s="34" t="s">
        <v>54</v>
      </c>
      <c r="Y202" s="33">
        <v>64.29</v>
      </c>
      <c r="AC202" s="28">
        <v>64.29</v>
      </c>
      <c r="AD202" s="34" t="s">
        <v>54</v>
      </c>
      <c r="AE202" s="33">
        <v>64.29</v>
      </c>
      <c r="AN202" s="7" t="s">
        <v>54</v>
      </c>
      <c r="AO202" s="7" t="s">
        <v>55</v>
      </c>
      <c r="AP202" s="7" t="s">
        <v>56</v>
      </c>
      <c r="AT202" s="47" t="s">
        <v>57</v>
      </c>
      <c r="AU202" s="47" t="s">
        <v>57</v>
      </c>
    </row>
    <row r="203" spans="1:47">
      <c r="A203" s="4" t="s">
        <v>48</v>
      </c>
      <c r="C203" s="21"/>
      <c r="D203" s="22" t="s">
        <v>49</v>
      </c>
      <c r="G203" s="23">
        <v>45090</v>
      </c>
      <c r="H203" s="24" t="s">
        <v>653</v>
      </c>
      <c r="J203" s="28" t="s">
        <v>51</v>
      </c>
      <c r="L203" s="24" t="s">
        <v>654</v>
      </c>
      <c r="M203" s="1" t="str">
        <f>"132825195703022412"</f>
        <v>132825195703022412</v>
      </c>
      <c r="N203" s="24" t="s">
        <v>654</v>
      </c>
      <c r="O203" s="1" t="str">
        <f>"132825195703022412"</f>
        <v>132825195703022412</v>
      </c>
      <c r="P203" s="23" t="s">
        <v>655</v>
      </c>
      <c r="Q203" s="23">
        <v>45091</v>
      </c>
      <c r="R203" s="32">
        <v>45457</v>
      </c>
      <c r="V203" s="33">
        <v>200</v>
      </c>
      <c r="W203" s="28">
        <v>64.29</v>
      </c>
      <c r="X203" s="34" t="s">
        <v>54</v>
      </c>
      <c r="Y203" s="33">
        <v>128.58</v>
      </c>
      <c r="AC203" s="28">
        <v>64.29</v>
      </c>
      <c r="AD203" s="34" t="s">
        <v>54</v>
      </c>
      <c r="AE203" s="33">
        <v>128.58</v>
      </c>
      <c r="AN203" s="7" t="s">
        <v>54</v>
      </c>
      <c r="AO203" s="7" t="s">
        <v>55</v>
      </c>
      <c r="AP203" s="7" t="s">
        <v>56</v>
      </c>
      <c r="AT203" s="47" t="s">
        <v>57</v>
      </c>
      <c r="AU203" s="47" t="s">
        <v>57</v>
      </c>
    </row>
    <row r="204" spans="1:47">
      <c r="A204" s="4" t="s">
        <v>48</v>
      </c>
      <c r="C204" s="21"/>
      <c r="D204" s="22" t="s">
        <v>49</v>
      </c>
      <c r="G204" s="23">
        <v>45091</v>
      </c>
      <c r="H204" s="24" t="s">
        <v>656</v>
      </c>
      <c r="J204" s="28" t="s">
        <v>51</v>
      </c>
      <c r="L204" s="24" t="s">
        <v>657</v>
      </c>
      <c r="M204" s="1" t="str">
        <f>"341282199212124343"</f>
        <v>341282199212124343</v>
      </c>
      <c r="N204" s="24" t="s">
        <v>657</v>
      </c>
      <c r="O204" s="1" t="str">
        <f>"341282199212124343"</f>
        <v>341282199212124343</v>
      </c>
      <c r="P204" s="23" t="s">
        <v>658</v>
      </c>
      <c r="Q204" s="23">
        <v>45209</v>
      </c>
      <c r="R204" s="32">
        <v>45575</v>
      </c>
      <c r="V204" s="33">
        <v>200</v>
      </c>
      <c r="W204" s="28">
        <v>64.29</v>
      </c>
      <c r="X204" s="34" t="s">
        <v>54</v>
      </c>
      <c r="Y204" s="33">
        <v>128.58</v>
      </c>
      <c r="AC204" s="28">
        <v>64.29</v>
      </c>
      <c r="AD204" s="34" t="s">
        <v>54</v>
      </c>
      <c r="AE204" s="33">
        <v>128.58</v>
      </c>
      <c r="AN204" s="7" t="s">
        <v>54</v>
      </c>
      <c r="AO204" s="7" t="s">
        <v>55</v>
      </c>
      <c r="AP204" s="7" t="s">
        <v>56</v>
      </c>
      <c r="AT204" s="47" t="s">
        <v>57</v>
      </c>
      <c r="AU204" s="47" t="s">
        <v>57</v>
      </c>
    </row>
    <row r="205" spans="1:47">
      <c r="A205" s="4" t="s">
        <v>48</v>
      </c>
      <c r="C205" s="21"/>
      <c r="D205" s="22" t="s">
        <v>49</v>
      </c>
      <c r="G205" s="23">
        <v>45092</v>
      </c>
      <c r="H205" s="24" t="s">
        <v>659</v>
      </c>
      <c r="J205" s="28" t="s">
        <v>51</v>
      </c>
      <c r="L205" s="24" t="s">
        <v>660</v>
      </c>
      <c r="M205" s="1" t="str">
        <f>"342122197809064419"</f>
        <v>342122197809064419</v>
      </c>
      <c r="N205" s="24" t="s">
        <v>660</v>
      </c>
      <c r="O205" s="1" t="str">
        <f>"342122197809064419"</f>
        <v>342122197809064419</v>
      </c>
      <c r="P205" s="23" t="s">
        <v>661</v>
      </c>
      <c r="Q205" s="23">
        <v>45093</v>
      </c>
      <c r="R205" s="32">
        <v>45459</v>
      </c>
      <c r="V205" s="33">
        <v>200</v>
      </c>
      <c r="W205" s="28">
        <v>64.29</v>
      </c>
      <c r="X205" s="34" t="s">
        <v>54</v>
      </c>
      <c r="Y205" s="33">
        <v>128.58</v>
      </c>
      <c r="AC205" s="28">
        <v>64.29</v>
      </c>
      <c r="AD205" s="34" t="s">
        <v>54</v>
      </c>
      <c r="AE205" s="33">
        <v>128.58</v>
      </c>
      <c r="AN205" s="7" t="s">
        <v>54</v>
      </c>
      <c r="AO205" s="7" t="s">
        <v>55</v>
      </c>
      <c r="AP205" s="7" t="s">
        <v>56</v>
      </c>
      <c r="AT205" s="47" t="s">
        <v>57</v>
      </c>
      <c r="AU205" s="47" t="s">
        <v>57</v>
      </c>
    </row>
    <row r="206" spans="1:47">
      <c r="A206" s="4" t="s">
        <v>48</v>
      </c>
      <c r="C206" s="21"/>
      <c r="D206" s="22" t="s">
        <v>49</v>
      </c>
      <c r="G206" s="23">
        <v>45074</v>
      </c>
      <c r="H206" s="24" t="s">
        <v>662</v>
      </c>
      <c r="J206" s="28" t="s">
        <v>51</v>
      </c>
      <c r="L206" s="24" t="s">
        <v>663</v>
      </c>
      <c r="M206" s="1" t="str">
        <f>"341203198806012349"</f>
        <v>341203198806012349</v>
      </c>
      <c r="N206" s="24" t="s">
        <v>663</v>
      </c>
      <c r="O206" s="1" t="str">
        <f>"341203198806012349"</f>
        <v>341203198806012349</v>
      </c>
      <c r="P206" s="23" t="s">
        <v>664</v>
      </c>
      <c r="Q206" s="23">
        <v>45075</v>
      </c>
      <c r="R206" s="32">
        <v>45441</v>
      </c>
      <c r="V206" s="33">
        <v>50</v>
      </c>
      <c r="W206" s="28">
        <v>64.29</v>
      </c>
      <c r="X206" s="34" t="s">
        <v>54</v>
      </c>
      <c r="Y206" s="33">
        <v>32.15</v>
      </c>
      <c r="AC206" s="28">
        <v>64.29</v>
      </c>
      <c r="AD206" s="34" t="s">
        <v>54</v>
      </c>
      <c r="AE206" s="33">
        <v>32.15</v>
      </c>
      <c r="AN206" s="7" t="s">
        <v>54</v>
      </c>
      <c r="AO206" s="7" t="s">
        <v>55</v>
      </c>
      <c r="AP206" s="7" t="s">
        <v>56</v>
      </c>
      <c r="AT206" s="47" t="s">
        <v>57</v>
      </c>
      <c r="AU206" s="47" t="s">
        <v>57</v>
      </c>
    </row>
    <row r="207" spans="1:47">
      <c r="A207" s="4" t="s">
        <v>48</v>
      </c>
      <c r="C207" s="21"/>
      <c r="D207" s="22" t="s">
        <v>49</v>
      </c>
      <c r="G207" s="23">
        <v>45075</v>
      </c>
      <c r="H207" s="24" t="s">
        <v>665</v>
      </c>
      <c r="J207" s="28" t="s">
        <v>51</v>
      </c>
      <c r="L207" s="24" t="s">
        <v>666</v>
      </c>
      <c r="M207" s="1" t="str">
        <f>"341204198007202660"</f>
        <v>341204198007202660</v>
      </c>
      <c r="N207" s="24" t="s">
        <v>666</v>
      </c>
      <c r="O207" s="1" t="str">
        <f>"341204198007202660"</f>
        <v>341204198007202660</v>
      </c>
      <c r="P207" s="23" t="s">
        <v>667</v>
      </c>
      <c r="Q207" s="23">
        <v>45076</v>
      </c>
      <c r="R207" s="32">
        <v>45442</v>
      </c>
      <c r="V207" s="33">
        <v>50</v>
      </c>
      <c r="W207" s="28">
        <v>64.29</v>
      </c>
      <c r="X207" s="34" t="s">
        <v>54</v>
      </c>
      <c r="Y207" s="33">
        <v>32.15</v>
      </c>
      <c r="AC207" s="28">
        <v>64.29</v>
      </c>
      <c r="AD207" s="34" t="s">
        <v>54</v>
      </c>
      <c r="AE207" s="33">
        <v>32.15</v>
      </c>
      <c r="AN207" s="7" t="s">
        <v>54</v>
      </c>
      <c r="AO207" s="7" t="s">
        <v>55</v>
      </c>
      <c r="AP207" s="7" t="s">
        <v>56</v>
      </c>
      <c r="AT207" s="47" t="s">
        <v>57</v>
      </c>
      <c r="AU207" s="47" t="s">
        <v>57</v>
      </c>
    </row>
    <row r="208" spans="1:47">
      <c r="A208" s="4" t="s">
        <v>48</v>
      </c>
      <c r="C208" s="21"/>
      <c r="D208" s="22" t="s">
        <v>49</v>
      </c>
      <c r="G208" s="23">
        <v>45091</v>
      </c>
      <c r="H208" s="24" t="s">
        <v>668</v>
      </c>
      <c r="J208" s="28" t="s">
        <v>51</v>
      </c>
      <c r="L208" s="24" t="s">
        <v>669</v>
      </c>
      <c r="M208" s="1" t="str">
        <f>"341227199507074019"</f>
        <v>341227199507074019</v>
      </c>
      <c r="N208" s="24" t="s">
        <v>669</v>
      </c>
      <c r="O208" s="1" t="str">
        <f>"341227199507074019"</f>
        <v>341227199507074019</v>
      </c>
      <c r="P208" s="23" t="s">
        <v>670</v>
      </c>
      <c r="Q208" s="23">
        <v>45092</v>
      </c>
      <c r="R208" s="32">
        <v>45458</v>
      </c>
      <c r="V208" s="33">
        <v>100</v>
      </c>
      <c r="W208" s="28">
        <v>64.29</v>
      </c>
      <c r="X208" s="34" t="s">
        <v>54</v>
      </c>
      <c r="Y208" s="33">
        <v>64.29</v>
      </c>
      <c r="AC208" s="28">
        <v>64.29</v>
      </c>
      <c r="AD208" s="34" t="s">
        <v>54</v>
      </c>
      <c r="AE208" s="33">
        <v>64.29</v>
      </c>
      <c r="AN208" s="7" t="s">
        <v>54</v>
      </c>
      <c r="AO208" s="7" t="s">
        <v>55</v>
      </c>
      <c r="AP208" s="7" t="s">
        <v>56</v>
      </c>
      <c r="AT208" s="47" t="s">
        <v>57</v>
      </c>
      <c r="AU208" s="47" t="s">
        <v>57</v>
      </c>
    </row>
    <row r="209" spans="1:47">
      <c r="A209" s="4" t="s">
        <v>48</v>
      </c>
      <c r="C209" s="21"/>
      <c r="D209" s="22" t="s">
        <v>49</v>
      </c>
      <c r="G209" s="23">
        <v>45090</v>
      </c>
      <c r="H209" s="24" t="s">
        <v>671</v>
      </c>
      <c r="J209" s="28" t="s">
        <v>51</v>
      </c>
      <c r="L209" s="24" t="s">
        <v>672</v>
      </c>
      <c r="M209" s="1" t="str">
        <f>"13282519660812241X"</f>
        <v>13282519660812241X</v>
      </c>
      <c r="N209" s="24" t="s">
        <v>672</v>
      </c>
      <c r="O209" s="1" t="str">
        <f>"13282519660812241X"</f>
        <v>13282519660812241X</v>
      </c>
      <c r="P209" s="23" t="s">
        <v>673</v>
      </c>
      <c r="Q209" s="23">
        <v>45091</v>
      </c>
      <c r="R209" s="32">
        <v>45457</v>
      </c>
      <c r="V209" s="33">
        <v>200</v>
      </c>
      <c r="W209" s="28">
        <v>64.29</v>
      </c>
      <c r="X209" s="34" t="s">
        <v>54</v>
      </c>
      <c r="Y209" s="33">
        <v>128.58</v>
      </c>
      <c r="AC209" s="28">
        <v>64.29</v>
      </c>
      <c r="AD209" s="34" t="s">
        <v>54</v>
      </c>
      <c r="AE209" s="33">
        <v>128.58</v>
      </c>
      <c r="AN209" s="7" t="s">
        <v>54</v>
      </c>
      <c r="AO209" s="7" t="s">
        <v>55</v>
      </c>
      <c r="AP209" s="7" t="s">
        <v>56</v>
      </c>
      <c r="AT209" s="47" t="s">
        <v>57</v>
      </c>
      <c r="AU209" s="47" t="s">
        <v>57</v>
      </c>
    </row>
    <row r="210" spans="1:47">
      <c r="A210" s="4" t="s">
        <v>48</v>
      </c>
      <c r="C210" s="21"/>
      <c r="D210" s="22" t="s">
        <v>49</v>
      </c>
      <c r="G210" s="23">
        <v>45090</v>
      </c>
      <c r="H210" s="24" t="s">
        <v>674</v>
      </c>
      <c r="J210" s="28" t="s">
        <v>51</v>
      </c>
      <c r="L210" s="24" t="s">
        <v>675</v>
      </c>
      <c r="M210" s="1" t="str">
        <f>"342122196801178812"</f>
        <v>342122196801178812</v>
      </c>
      <c r="N210" s="24" t="s">
        <v>675</v>
      </c>
      <c r="O210" s="1" t="str">
        <f>"342122196801178812"</f>
        <v>342122196801178812</v>
      </c>
      <c r="P210" s="23" t="s">
        <v>676</v>
      </c>
      <c r="Q210" s="23">
        <v>45091</v>
      </c>
      <c r="R210" s="32">
        <v>45457</v>
      </c>
      <c r="V210" s="33">
        <v>200</v>
      </c>
      <c r="W210" s="28">
        <v>64.29</v>
      </c>
      <c r="X210" s="34" t="s">
        <v>54</v>
      </c>
      <c r="Y210" s="33">
        <v>128.58</v>
      </c>
      <c r="AC210" s="28">
        <v>64.29</v>
      </c>
      <c r="AD210" s="34" t="s">
        <v>54</v>
      </c>
      <c r="AE210" s="33">
        <v>128.58</v>
      </c>
      <c r="AN210" s="7" t="s">
        <v>54</v>
      </c>
      <c r="AO210" s="7" t="s">
        <v>55</v>
      </c>
      <c r="AP210" s="7" t="s">
        <v>56</v>
      </c>
      <c r="AT210" s="47" t="s">
        <v>57</v>
      </c>
      <c r="AU210" s="47" t="s">
        <v>57</v>
      </c>
    </row>
    <row r="211" spans="1:47">
      <c r="A211" s="4" t="s">
        <v>48</v>
      </c>
      <c r="C211" s="21"/>
      <c r="D211" s="22" t="s">
        <v>49</v>
      </c>
      <c r="G211" s="23">
        <v>45089</v>
      </c>
      <c r="H211" s="24" t="s">
        <v>677</v>
      </c>
      <c r="J211" s="28" t="s">
        <v>51</v>
      </c>
      <c r="L211" s="24" t="s">
        <v>678</v>
      </c>
      <c r="M211" s="1" t="str">
        <f>"132825196909302449"</f>
        <v>132825196909302449</v>
      </c>
      <c r="N211" s="24" t="s">
        <v>678</v>
      </c>
      <c r="O211" s="1" t="str">
        <f>"132825196909302449"</f>
        <v>132825196909302449</v>
      </c>
      <c r="P211" s="23" t="s">
        <v>679</v>
      </c>
      <c r="Q211" s="23">
        <v>45090</v>
      </c>
      <c r="R211" s="32">
        <v>45456</v>
      </c>
      <c r="V211" s="33">
        <v>200</v>
      </c>
      <c r="W211" s="28">
        <v>64.29</v>
      </c>
      <c r="X211" s="34" t="s">
        <v>54</v>
      </c>
      <c r="Y211" s="33">
        <v>128.58</v>
      </c>
      <c r="AC211" s="28">
        <v>64.29</v>
      </c>
      <c r="AD211" s="34" t="s">
        <v>54</v>
      </c>
      <c r="AE211" s="33">
        <v>128.58</v>
      </c>
      <c r="AN211" s="7" t="s">
        <v>54</v>
      </c>
      <c r="AO211" s="7" t="s">
        <v>55</v>
      </c>
      <c r="AP211" s="7" t="s">
        <v>56</v>
      </c>
      <c r="AT211" s="47" t="s">
        <v>57</v>
      </c>
      <c r="AU211" s="47" t="s">
        <v>57</v>
      </c>
    </row>
    <row r="212" spans="1:47">
      <c r="A212" s="4" t="s">
        <v>48</v>
      </c>
      <c r="C212" s="21"/>
      <c r="D212" s="22" t="s">
        <v>49</v>
      </c>
      <c r="G212" s="23">
        <v>45087</v>
      </c>
      <c r="H212" s="24" t="s">
        <v>680</v>
      </c>
      <c r="J212" s="28" t="s">
        <v>51</v>
      </c>
      <c r="L212" s="24" t="s">
        <v>681</v>
      </c>
      <c r="M212" s="1" t="str">
        <f>"341204200007261011"</f>
        <v>341204200007261011</v>
      </c>
      <c r="N212" s="24" t="s">
        <v>681</v>
      </c>
      <c r="O212" s="1" t="str">
        <f>"341204200007261011"</f>
        <v>341204200007261011</v>
      </c>
      <c r="P212" s="23" t="s">
        <v>682</v>
      </c>
      <c r="Q212" s="23">
        <v>45088</v>
      </c>
      <c r="R212" s="32">
        <v>45454</v>
      </c>
      <c r="V212" s="33">
        <v>200</v>
      </c>
      <c r="W212" s="28">
        <v>64.29</v>
      </c>
      <c r="X212" s="34" t="s">
        <v>54</v>
      </c>
      <c r="Y212" s="33">
        <v>128.58</v>
      </c>
      <c r="AC212" s="28">
        <v>64.29</v>
      </c>
      <c r="AD212" s="34" t="s">
        <v>54</v>
      </c>
      <c r="AE212" s="33">
        <v>128.58</v>
      </c>
      <c r="AN212" s="7" t="s">
        <v>54</v>
      </c>
      <c r="AO212" s="7" t="s">
        <v>55</v>
      </c>
      <c r="AP212" s="7" t="s">
        <v>56</v>
      </c>
      <c r="AT212" s="47" t="s">
        <v>57</v>
      </c>
      <c r="AU212" s="47" t="s">
        <v>57</v>
      </c>
    </row>
    <row r="213" spans="1:47">
      <c r="A213" s="4" t="s">
        <v>48</v>
      </c>
      <c r="C213" s="21"/>
      <c r="D213" s="22" t="s">
        <v>49</v>
      </c>
      <c r="G213" s="23">
        <v>45087</v>
      </c>
      <c r="H213" s="24" t="s">
        <v>683</v>
      </c>
      <c r="J213" s="28" t="s">
        <v>51</v>
      </c>
      <c r="L213" s="24" t="s">
        <v>684</v>
      </c>
      <c r="M213" s="1" t="str">
        <f>"341221199201128549"</f>
        <v>341221199201128549</v>
      </c>
      <c r="N213" s="24" t="s">
        <v>684</v>
      </c>
      <c r="O213" s="1" t="str">
        <f>"341221199201128549"</f>
        <v>341221199201128549</v>
      </c>
      <c r="P213" s="23" t="s">
        <v>685</v>
      </c>
      <c r="Q213" s="23">
        <v>45088</v>
      </c>
      <c r="R213" s="32">
        <v>45454</v>
      </c>
      <c r="V213" s="33">
        <v>200</v>
      </c>
      <c r="W213" s="28">
        <v>64.29</v>
      </c>
      <c r="X213" s="34" t="s">
        <v>54</v>
      </c>
      <c r="Y213" s="33">
        <v>128.58</v>
      </c>
      <c r="AC213" s="28">
        <v>64.29</v>
      </c>
      <c r="AD213" s="34" t="s">
        <v>54</v>
      </c>
      <c r="AE213" s="33">
        <v>128.58</v>
      </c>
      <c r="AN213" s="7" t="s">
        <v>54</v>
      </c>
      <c r="AO213" s="7" t="s">
        <v>55</v>
      </c>
      <c r="AP213" s="7" t="s">
        <v>56</v>
      </c>
      <c r="AT213" s="47" t="s">
        <v>57</v>
      </c>
      <c r="AU213" s="47" t="s">
        <v>57</v>
      </c>
    </row>
    <row r="214" spans="1:47">
      <c r="A214" s="4" t="s">
        <v>48</v>
      </c>
      <c r="C214" s="21"/>
      <c r="D214" s="22" t="s">
        <v>49</v>
      </c>
      <c r="G214" s="23">
        <v>45085</v>
      </c>
      <c r="H214" s="24" t="s">
        <v>686</v>
      </c>
      <c r="J214" s="28" t="s">
        <v>51</v>
      </c>
      <c r="L214" s="24" t="s">
        <v>687</v>
      </c>
      <c r="M214" s="1" t="str">
        <f>"132825195409102497"</f>
        <v>132825195409102497</v>
      </c>
      <c r="N214" s="24" t="s">
        <v>687</v>
      </c>
      <c r="O214" s="1" t="str">
        <f>"132825195409102497"</f>
        <v>132825195409102497</v>
      </c>
      <c r="P214" s="23" t="s">
        <v>688</v>
      </c>
      <c r="Q214" s="23">
        <v>45086</v>
      </c>
      <c r="R214" s="32">
        <v>45452</v>
      </c>
      <c r="V214" s="33">
        <v>200</v>
      </c>
      <c r="W214" s="28">
        <v>64.29</v>
      </c>
      <c r="X214" s="34" t="s">
        <v>54</v>
      </c>
      <c r="Y214" s="33">
        <v>128.58</v>
      </c>
      <c r="AC214" s="28">
        <v>64.29</v>
      </c>
      <c r="AD214" s="34" t="s">
        <v>54</v>
      </c>
      <c r="AE214" s="33">
        <v>128.58</v>
      </c>
      <c r="AN214" s="7" t="s">
        <v>54</v>
      </c>
      <c r="AO214" s="7" t="s">
        <v>55</v>
      </c>
      <c r="AP214" s="7" t="s">
        <v>56</v>
      </c>
      <c r="AT214" s="47" t="s">
        <v>57</v>
      </c>
      <c r="AU214" s="47" t="s">
        <v>57</v>
      </c>
    </row>
    <row r="215" spans="1:47">
      <c r="A215" s="4" t="s">
        <v>48</v>
      </c>
      <c r="C215" s="21"/>
      <c r="D215" s="22" t="s">
        <v>49</v>
      </c>
      <c r="G215" s="23">
        <v>45102</v>
      </c>
      <c r="H215" s="24" t="s">
        <v>689</v>
      </c>
      <c r="J215" s="28" t="s">
        <v>51</v>
      </c>
      <c r="L215" s="24" t="s">
        <v>690</v>
      </c>
      <c r="M215" s="1" t="str">
        <f>"341221198610104877"</f>
        <v>341221198610104877</v>
      </c>
      <c r="N215" s="24" t="s">
        <v>690</v>
      </c>
      <c r="O215" s="1" t="str">
        <f>"341221198610104877"</f>
        <v>341221198610104877</v>
      </c>
      <c r="P215" s="23" t="s">
        <v>691</v>
      </c>
      <c r="Q215" s="23">
        <v>45103</v>
      </c>
      <c r="R215" s="32">
        <v>45469</v>
      </c>
      <c r="V215" s="33">
        <v>100</v>
      </c>
      <c r="W215" s="28">
        <v>64.29</v>
      </c>
      <c r="X215" s="34" t="s">
        <v>54</v>
      </c>
      <c r="Y215" s="33">
        <v>64.29</v>
      </c>
      <c r="AC215" s="28">
        <v>64.29</v>
      </c>
      <c r="AD215" s="34" t="s">
        <v>54</v>
      </c>
      <c r="AE215" s="33">
        <v>64.29</v>
      </c>
      <c r="AN215" s="7" t="s">
        <v>54</v>
      </c>
      <c r="AO215" s="7" t="s">
        <v>55</v>
      </c>
      <c r="AP215" s="7" t="s">
        <v>56</v>
      </c>
      <c r="AT215" s="47" t="s">
        <v>57</v>
      </c>
      <c r="AU215" s="47" t="s">
        <v>57</v>
      </c>
    </row>
    <row r="216" spans="1:47">
      <c r="A216" s="4" t="s">
        <v>48</v>
      </c>
      <c r="C216" s="21"/>
      <c r="D216" s="22" t="s">
        <v>49</v>
      </c>
      <c r="G216" s="23">
        <v>45102</v>
      </c>
      <c r="H216" s="24" t="s">
        <v>692</v>
      </c>
      <c r="J216" s="28" t="s">
        <v>51</v>
      </c>
      <c r="L216" s="24" t="s">
        <v>693</v>
      </c>
      <c r="M216" s="1" t="str">
        <f>"132825197205252417"</f>
        <v>132825197205252417</v>
      </c>
      <c r="N216" s="24" t="s">
        <v>693</v>
      </c>
      <c r="O216" s="1" t="str">
        <f>"132825197205252417"</f>
        <v>132825197205252417</v>
      </c>
      <c r="P216" s="23" t="s">
        <v>694</v>
      </c>
      <c r="Q216" s="23">
        <v>45103</v>
      </c>
      <c r="R216" s="32">
        <v>45469</v>
      </c>
      <c r="V216" s="33">
        <v>100</v>
      </c>
      <c r="W216" s="28">
        <v>64.29</v>
      </c>
      <c r="X216" s="34" t="s">
        <v>54</v>
      </c>
      <c r="Y216" s="33">
        <v>64.29</v>
      </c>
      <c r="AC216" s="28">
        <v>64.29</v>
      </c>
      <c r="AD216" s="34" t="s">
        <v>54</v>
      </c>
      <c r="AE216" s="33">
        <v>64.29</v>
      </c>
      <c r="AN216" s="7" t="s">
        <v>54</v>
      </c>
      <c r="AO216" s="7" t="s">
        <v>55</v>
      </c>
      <c r="AP216" s="7" t="s">
        <v>56</v>
      </c>
      <c r="AT216" s="47" t="s">
        <v>57</v>
      </c>
      <c r="AU216" s="47" t="s">
        <v>57</v>
      </c>
    </row>
    <row r="217" spans="1:47">
      <c r="A217" s="4" t="s">
        <v>48</v>
      </c>
      <c r="C217" s="21"/>
      <c r="D217" s="22" t="s">
        <v>49</v>
      </c>
      <c r="G217" s="23">
        <v>45092</v>
      </c>
      <c r="H217" s="24" t="s">
        <v>695</v>
      </c>
      <c r="J217" s="28" t="s">
        <v>51</v>
      </c>
      <c r="L217" s="24" t="s">
        <v>696</v>
      </c>
      <c r="M217" s="1" t="str">
        <f>"13282519520901242X"</f>
        <v>13282519520901242X</v>
      </c>
      <c r="N217" s="24" t="s">
        <v>696</v>
      </c>
      <c r="O217" s="1" t="str">
        <f>"13282519520901242X"</f>
        <v>13282519520901242X</v>
      </c>
      <c r="P217" s="23" t="s">
        <v>697</v>
      </c>
      <c r="Q217" s="23">
        <v>45215</v>
      </c>
      <c r="R217" s="32">
        <v>45581</v>
      </c>
      <c r="V217" s="33">
        <v>100</v>
      </c>
      <c r="W217" s="28">
        <v>64.29</v>
      </c>
      <c r="X217" s="34" t="s">
        <v>54</v>
      </c>
      <c r="Y217" s="33">
        <v>64.29</v>
      </c>
      <c r="AC217" s="28">
        <v>64.29</v>
      </c>
      <c r="AD217" s="34" t="s">
        <v>54</v>
      </c>
      <c r="AE217" s="33">
        <v>64.29</v>
      </c>
      <c r="AN217" s="7" t="s">
        <v>54</v>
      </c>
      <c r="AO217" s="7" t="s">
        <v>55</v>
      </c>
      <c r="AP217" s="7" t="s">
        <v>56</v>
      </c>
      <c r="AT217" s="47" t="s">
        <v>57</v>
      </c>
      <c r="AU217" s="47" t="s">
        <v>57</v>
      </c>
    </row>
    <row r="218" spans="1:47">
      <c r="A218" s="4" t="s">
        <v>48</v>
      </c>
      <c r="C218" s="21"/>
      <c r="D218" s="22" t="s">
        <v>49</v>
      </c>
      <c r="G218" s="23">
        <v>45080</v>
      </c>
      <c r="H218" s="24" t="s">
        <v>698</v>
      </c>
      <c r="J218" s="28" t="s">
        <v>51</v>
      </c>
      <c r="L218" s="24" t="s">
        <v>699</v>
      </c>
      <c r="M218" s="1" t="str">
        <f>"132825197209262436"</f>
        <v>132825197209262436</v>
      </c>
      <c r="N218" s="24" t="s">
        <v>699</v>
      </c>
      <c r="O218" s="1" t="str">
        <f>"132825197209262436"</f>
        <v>132825197209262436</v>
      </c>
      <c r="P218" s="23" t="s">
        <v>700</v>
      </c>
      <c r="Q218" s="23">
        <v>45081</v>
      </c>
      <c r="R218" s="32">
        <v>45447</v>
      </c>
      <c r="V218" s="33">
        <v>100</v>
      </c>
      <c r="W218" s="28">
        <v>64.29</v>
      </c>
      <c r="X218" s="34" t="s">
        <v>54</v>
      </c>
      <c r="Y218" s="33">
        <v>64.29</v>
      </c>
      <c r="AC218" s="28">
        <v>64.29</v>
      </c>
      <c r="AD218" s="34" t="s">
        <v>54</v>
      </c>
      <c r="AE218" s="33">
        <v>64.29</v>
      </c>
      <c r="AN218" s="7" t="s">
        <v>54</v>
      </c>
      <c r="AO218" s="7" t="s">
        <v>55</v>
      </c>
      <c r="AP218" s="7" t="s">
        <v>56</v>
      </c>
      <c r="AT218" s="47" t="s">
        <v>57</v>
      </c>
      <c r="AU218" s="47" t="s">
        <v>57</v>
      </c>
    </row>
    <row r="219" spans="1:47">
      <c r="A219" s="4" t="s">
        <v>48</v>
      </c>
      <c r="C219" s="21"/>
      <c r="D219" s="22" t="s">
        <v>49</v>
      </c>
      <c r="G219" s="23">
        <v>45082</v>
      </c>
      <c r="H219" s="24" t="s">
        <v>701</v>
      </c>
      <c r="J219" s="28" t="s">
        <v>51</v>
      </c>
      <c r="L219" s="24" t="s">
        <v>702</v>
      </c>
      <c r="M219" s="1" t="str">
        <f>"341221198102074448"</f>
        <v>341221198102074448</v>
      </c>
      <c r="N219" s="24" t="s">
        <v>702</v>
      </c>
      <c r="O219" s="1" t="str">
        <f>"341221198102074448"</f>
        <v>341221198102074448</v>
      </c>
      <c r="P219" s="23" t="s">
        <v>703</v>
      </c>
      <c r="Q219" s="23">
        <v>45175</v>
      </c>
      <c r="R219" s="32">
        <v>45541</v>
      </c>
      <c r="V219" s="33">
        <v>100</v>
      </c>
      <c r="W219" s="28">
        <v>64.29</v>
      </c>
      <c r="X219" s="34" t="s">
        <v>54</v>
      </c>
      <c r="Y219" s="33">
        <v>64.29</v>
      </c>
      <c r="AC219" s="28">
        <v>64.29</v>
      </c>
      <c r="AD219" s="34" t="s">
        <v>54</v>
      </c>
      <c r="AE219" s="33">
        <v>64.29</v>
      </c>
      <c r="AN219" s="7" t="s">
        <v>54</v>
      </c>
      <c r="AO219" s="7" t="s">
        <v>55</v>
      </c>
      <c r="AP219" s="7" t="s">
        <v>56</v>
      </c>
      <c r="AT219" s="47" t="s">
        <v>57</v>
      </c>
      <c r="AU219" s="47" t="s">
        <v>57</v>
      </c>
    </row>
    <row r="220" spans="1:47">
      <c r="A220" s="4" t="s">
        <v>48</v>
      </c>
      <c r="C220" s="21"/>
      <c r="D220" s="22" t="s">
        <v>49</v>
      </c>
      <c r="G220" s="23">
        <v>45082</v>
      </c>
      <c r="H220" s="24" t="s">
        <v>704</v>
      </c>
      <c r="J220" s="28" t="s">
        <v>51</v>
      </c>
      <c r="L220" s="24" t="s">
        <v>705</v>
      </c>
      <c r="M220" s="1" t="str">
        <f>"341204199001120810"</f>
        <v>341204199001120810</v>
      </c>
      <c r="N220" s="24" t="s">
        <v>705</v>
      </c>
      <c r="O220" s="1" t="str">
        <f>"341204199001120810"</f>
        <v>341204199001120810</v>
      </c>
      <c r="P220" s="23" t="s">
        <v>706</v>
      </c>
      <c r="Q220" s="23">
        <v>45144</v>
      </c>
      <c r="R220" s="32">
        <v>45510</v>
      </c>
      <c r="V220" s="33">
        <v>100</v>
      </c>
      <c r="W220" s="28">
        <v>64.29</v>
      </c>
      <c r="X220" s="34" t="s">
        <v>54</v>
      </c>
      <c r="Y220" s="33">
        <v>64.29</v>
      </c>
      <c r="AC220" s="28">
        <v>64.29</v>
      </c>
      <c r="AD220" s="34" t="s">
        <v>54</v>
      </c>
      <c r="AE220" s="33">
        <v>64.29</v>
      </c>
      <c r="AN220" s="7" t="s">
        <v>54</v>
      </c>
      <c r="AO220" s="7" t="s">
        <v>55</v>
      </c>
      <c r="AP220" s="7" t="s">
        <v>56</v>
      </c>
      <c r="AT220" s="47" t="s">
        <v>57</v>
      </c>
      <c r="AU220" s="47" t="s">
        <v>57</v>
      </c>
    </row>
    <row r="221" spans="1:47">
      <c r="A221" s="4" t="s">
        <v>48</v>
      </c>
      <c r="C221" s="21"/>
      <c r="D221" s="22" t="s">
        <v>49</v>
      </c>
      <c r="G221" s="23">
        <v>45079</v>
      </c>
      <c r="H221" s="24" t="s">
        <v>707</v>
      </c>
      <c r="J221" s="28" t="s">
        <v>51</v>
      </c>
      <c r="L221" s="24" t="s">
        <v>708</v>
      </c>
      <c r="M221" s="1" t="str">
        <f>"342101197910052023"</f>
        <v>342101197910052023</v>
      </c>
      <c r="N221" s="24" t="s">
        <v>708</v>
      </c>
      <c r="O221" s="1" t="str">
        <f>"342101197910052023"</f>
        <v>342101197910052023</v>
      </c>
      <c r="P221" s="23" t="s">
        <v>709</v>
      </c>
      <c r="Q221" s="23">
        <v>45080</v>
      </c>
      <c r="R221" s="32">
        <v>45446</v>
      </c>
      <c r="V221" s="33">
        <v>100</v>
      </c>
      <c r="W221" s="28">
        <v>64.29</v>
      </c>
      <c r="X221" s="34" t="s">
        <v>54</v>
      </c>
      <c r="Y221" s="33">
        <v>64.29</v>
      </c>
      <c r="AC221" s="28">
        <v>64.29</v>
      </c>
      <c r="AD221" s="34" t="s">
        <v>54</v>
      </c>
      <c r="AE221" s="33">
        <v>64.29</v>
      </c>
      <c r="AN221" s="7" t="s">
        <v>54</v>
      </c>
      <c r="AO221" s="7" t="s">
        <v>55</v>
      </c>
      <c r="AP221" s="7" t="s">
        <v>56</v>
      </c>
      <c r="AT221" s="47" t="s">
        <v>57</v>
      </c>
      <c r="AU221" s="47" t="s">
        <v>57</v>
      </c>
    </row>
    <row r="222" spans="1:47">
      <c r="A222" s="4" t="s">
        <v>48</v>
      </c>
      <c r="C222" s="21"/>
      <c r="D222" s="22" t="s">
        <v>49</v>
      </c>
      <c r="G222" s="23">
        <v>45082</v>
      </c>
      <c r="H222" s="24" t="s">
        <v>710</v>
      </c>
      <c r="J222" s="28" t="s">
        <v>51</v>
      </c>
      <c r="L222" s="24" t="s">
        <v>711</v>
      </c>
      <c r="M222" s="1" t="str">
        <f>"341204198603050835"</f>
        <v>341204198603050835</v>
      </c>
      <c r="N222" s="24" t="s">
        <v>711</v>
      </c>
      <c r="O222" s="1" t="str">
        <f>"341204198603050835"</f>
        <v>341204198603050835</v>
      </c>
      <c r="P222" s="23" t="s">
        <v>712</v>
      </c>
      <c r="Q222" s="23">
        <v>45291</v>
      </c>
      <c r="R222" s="32">
        <v>45657</v>
      </c>
      <c r="V222" s="33">
        <v>100</v>
      </c>
      <c r="W222" s="28">
        <v>64.29</v>
      </c>
      <c r="X222" s="34" t="s">
        <v>54</v>
      </c>
      <c r="Y222" s="33">
        <v>64.29</v>
      </c>
      <c r="AC222" s="28">
        <v>64.29</v>
      </c>
      <c r="AD222" s="34" t="s">
        <v>54</v>
      </c>
      <c r="AE222" s="33">
        <v>64.29</v>
      </c>
      <c r="AN222" s="7" t="s">
        <v>54</v>
      </c>
      <c r="AO222" s="7" t="s">
        <v>55</v>
      </c>
      <c r="AP222" s="7" t="s">
        <v>56</v>
      </c>
      <c r="AT222" s="47" t="s">
        <v>57</v>
      </c>
      <c r="AU222" s="47" t="s">
        <v>57</v>
      </c>
    </row>
    <row r="223" spans="1:47">
      <c r="A223" s="4" t="s">
        <v>48</v>
      </c>
      <c r="C223" s="21"/>
      <c r="D223" s="22" t="s">
        <v>49</v>
      </c>
      <c r="G223" s="23">
        <v>45087</v>
      </c>
      <c r="H223" s="24" t="s">
        <v>713</v>
      </c>
      <c r="J223" s="28" t="s">
        <v>51</v>
      </c>
      <c r="L223" s="24" t="s">
        <v>714</v>
      </c>
      <c r="M223" s="1" t="str">
        <f>"341204199112100839"</f>
        <v>341204199112100839</v>
      </c>
      <c r="N223" s="24" t="s">
        <v>714</v>
      </c>
      <c r="O223" s="1" t="str">
        <f>"341204199112100839"</f>
        <v>341204199112100839</v>
      </c>
      <c r="P223" s="23" t="s">
        <v>715</v>
      </c>
      <c r="Q223" s="23">
        <v>45088</v>
      </c>
      <c r="R223" s="32">
        <v>45454</v>
      </c>
      <c r="V223" s="33">
        <v>200</v>
      </c>
      <c r="W223" s="28">
        <v>64.29</v>
      </c>
      <c r="X223" s="34" t="s">
        <v>54</v>
      </c>
      <c r="Y223" s="33">
        <v>128.58</v>
      </c>
      <c r="AC223" s="28">
        <v>64.29</v>
      </c>
      <c r="AD223" s="34" t="s">
        <v>54</v>
      </c>
      <c r="AE223" s="33">
        <v>128.58</v>
      </c>
      <c r="AN223" s="7" t="s">
        <v>54</v>
      </c>
      <c r="AO223" s="7" t="s">
        <v>55</v>
      </c>
      <c r="AP223" s="7" t="s">
        <v>56</v>
      </c>
      <c r="AT223" s="47" t="s">
        <v>57</v>
      </c>
      <c r="AU223" s="47" t="s">
        <v>57</v>
      </c>
    </row>
    <row r="224" spans="1:47">
      <c r="A224" s="4" t="s">
        <v>48</v>
      </c>
      <c r="C224" s="21"/>
      <c r="D224" s="22" t="s">
        <v>49</v>
      </c>
      <c r="G224" s="23">
        <v>45087</v>
      </c>
      <c r="H224" s="24" t="s">
        <v>716</v>
      </c>
      <c r="J224" s="28" t="s">
        <v>51</v>
      </c>
      <c r="L224" s="24" t="s">
        <v>717</v>
      </c>
      <c r="M224" s="1" t="str">
        <f>"342121198011065613"</f>
        <v>342121198011065613</v>
      </c>
      <c r="N224" s="24" t="s">
        <v>717</v>
      </c>
      <c r="O224" s="1" t="str">
        <f>"342121198011065613"</f>
        <v>342121198011065613</v>
      </c>
      <c r="P224" s="23" t="s">
        <v>718</v>
      </c>
      <c r="Q224" s="23">
        <v>45088</v>
      </c>
      <c r="R224" s="32">
        <v>45454</v>
      </c>
      <c r="V224" s="33">
        <v>200</v>
      </c>
      <c r="W224" s="28">
        <v>64.29</v>
      </c>
      <c r="X224" s="34" t="s">
        <v>54</v>
      </c>
      <c r="Y224" s="33">
        <v>128.58</v>
      </c>
      <c r="AC224" s="28">
        <v>64.29</v>
      </c>
      <c r="AD224" s="34" t="s">
        <v>54</v>
      </c>
      <c r="AE224" s="33">
        <v>128.58</v>
      </c>
      <c r="AN224" s="7" t="s">
        <v>54</v>
      </c>
      <c r="AO224" s="7" t="s">
        <v>55</v>
      </c>
      <c r="AP224" s="7" t="s">
        <v>56</v>
      </c>
      <c r="AT224" s="47" t="s">
        <v>57</v>
      </c>
      <c r="AU224" s="47" t="s">
        <v>57</v>
      </c>
    </row>
    <row r="225" spans="1:47">
      <c r="A225" s="4" t="s">
        <v>48</v>
      </c>
      <c r="C225" s="21"/>
      <c r="D225" s="22" t="s">
        <v>49</v>
      </c>
      <c r="G225" s="23">
        <v>45085</v>
      </c>
      <c r="H225" s="24" t="s">
        <v>719</v>
      </c>
      <c r="J225" s="28" t="s">
        <v>51</v>
      </c>
      <c r="L225" s="24" t="s">
        <v>720</v>
      </c>
      <c r="M225" s="1" t="str">
        <f>"341204198003040879"</f>
        <v>341204198003040879</v>
      </c>
      <c r="N225" s="24" t="s">
        <v>720</v>
      </c>
      <c r="O225" s="1" t="str">
        <f>"341204198003040879"</f>
        <v>341204198003040879</v>
      </c>
      <c r="P225" s="23" t="s">
        <v>721</v>
      </c>
      <c r="Q225" s="23">
        <v>45086</v>
      </c>
      <c r="R225" s="32">
        <v>45452</v>
      </c>
      <c r="V225" s="33">
        <v>200</v>
      </c>
      <c r="W225" s="28">
        <v>64.29</v>
      </c>
      <c r="X225" s="34" t="s">
        <v>54</v>
      </c>
      <c r="Y225" s="33">
        <v>128.58</v>
      </c>
      <c r="AC225" s="28">
        <v>64.29</v>
      </c>
      <c r="AD225" s="34" t="s">
        <v>54</v>
      </c>
      <c r="AE225" s="33">
        <v>128.58</v>
      </c>
      <c r="AN225" s="7" t="s">
        <v>54</v>
      </c>
      <c r="AO225" s="7" t="s">
        <v>55</v>
      </c>
      <c r="AP225" s="7" t="s">
        <v>56</v>
      </c>
      <c r="AT225" s="47" t="s">
        <v>57</v>
      </c>
      <c r="AU225" s="47" t="s">
        <v>57</v>
      </c>
    </row>
    <row r="226" spans="1:47">
      <c r="A226" s="4" t="s">
        <v>48</v>
      </c>
      <c r="C226" s="21"/>
      <c r="D226" s="22" t="s">
        <v>49</v>
      </c>
      <c r="G226" s="23">
        <v>45084</v>
      </c>
      <c r="H226" s="24" t="s">
        <v>722</v>
      </c>
      <c r="J226" s="28" t="s">
        <v>51</v>
      </c>
      <c r="L226" s="24" t="s">
        <v>723</v>
      </c>
      <c r="M226" s="1" t="str">
        <f>"34120419840112084X"</f>
        <v>34120419840112084X</v>
      </c>
      <c r="N226" s="24" t="s">
        <v>723</v>
      </c>
      <c r="O226" s="1" t="str">
        <f>"34120419840112084X"</f>
        <v>34120419840112084X</v>
      </c>
      <c r="P226" s="23" t="s">
        <v>724</v>
      </c>
      <c r="Q226" s="23">
        <v>45085</v>
      </c>
      <c r="R226" s="32">
        <v>45451</v>
      </c>
      <c r="V226" s="33">
        <v>200</v>
      </c>
      <c r="W226" s="28">
        <v>64.29</v>
      </c>
      <c r="X226" s="34" t="s">
        <v>54</v>
      </c>
      <c r="Y226" s="33">
        <v>128.58</v>
      </c>
      <c r="AC226" s="28">
        <v>64.29</v>
      </c>
      <c r="AD226" s="34" t="s">
        <v>54</v>
      </c>
      <c r="AE226" s="33">
        <v>128.58</v>
      </c>
      <c r="AN226" s="7" t="s">
        <v>54</v>
      </c>
      <c r="AO226" s="7" t="s">
        <v>55</v>
      </c>
      <c r="AP226" s="7" t="s">
        <v>56</v>
      </c>
      <c r="AT226" s="47" t="s">
        <v>57</v>
      </c>
      <c r="AU226" s="47" t="s">
        <v>57</v>
      </c>
    </row>
    <row r="227" spans="1:47">
      <c r="A227" s="4" t="s">
        <v>48</v>
      </c>
      <c r="C227" s="21"/>
      <c r="D227" s="22" t="s">
        <v>49</v>
      </c>
      <c r="G227" s="23">
        <v>45102</v>
      </c>
      <c r="H227" s="24" t="s">
        <v>725</v>
      </c>
      <c r="J227" s="28" t="s">
        <v>51</v>
      </c>
      <c r="L227" s="24" t="s">
        <v>726</v>
      </c>
      <c r="M227" s="1" t="str">
        <f>"341202198306032515"</f>
        <v>341202198306032515</v>
      </c>
      <c r="N227" s="24" t="s">
        <v>726</v>
      </c>
      <c r="O227" s="1" t="str">
        <f>"341202198306032515"</f>
        <v>341202198306032515</v>
      </c>
      <c r="P227" s="23" t="s">
        <v>727</v>
      </c>
      <c r="Q227" s="23">
        <v>45291</v>
      </c>
      <c r="R227" s="32">
        <v>45657</v>
      </c>
      <c r="V227" s="33">
        <v>100</v>
      </c>
      <c r="W227" s="28">
        <v>64.29</v>
      </c>
      <c r="X227" s="34" t="s">
        <v>54</v>
      </c>
      <c r="Y227" s="33">
        <v>64.29</v>
      </c>
      <c r="AC227" s="28">
        <v>64.29</v>
      </c>
      <c r="AD227" s="34" t="s">
        <v>54</v>
      </c>
      <c r="AE227" s="33">
        <v>64.29</v>
      </c>
      <c r="AN227" s="7" t="s">
        <v>54</v>
      </c>
      <c r="AO227" s="7" t="s">
        <v>55</v>
      </c>
      <c r="AP227" s="7" t="s">
        <v>56</v>
      </c>
      <c r="AT227" s="47" t="s">
        <v>57</v>
      </c>
      <c r="AU227" s="47" t="s">
        <v>57</v>
      </c>
    </row>
    <row r="228" spans="1:47">
      <c r="A228" s="4" t="s">
        <v>48</v>
      </c>
      <c r="C228" s="21"/>
      <c r="D228" s="22" t="s">
        <v>49</v>
      </c>
      <c r="G228" s="23">
        <v>45102</v>
      </c>
      <c r="H228" s="24" t="s">
        <v>728</v>
      </c>
      <c r="J228" s="28" t="s">
        <v>51</v>
      </c>
      <c r="L228" s="24" t="s">
        <v>729</v>
      </c>
      <c r="M228" s="1" t="str">
        <f>"341282198905170153"</f>
        <v>341282198905170153</v>
      </c>
      <c r="N228" s="24" t="s">
        <v>729</v>
      </c>
      <c r="O228" s="1" t="str">
        <f>"341282198905170153"</f>
        <v>341282198905170153</v>
      </c>
      <c r="P228" s="23" t="s">
        <v>730</v>
      </c>
      <c r="Q228" s="23">
        <v>45103</v>
      </c>
      <c r="R228" s="32">
        <v>45469</v>
      </c>
      <c r="V228" s="33">
        <v>100</v>
      </c>
      <c r="W228" s="28">
        <v>64.29</v>
      </c>
      <c r="X228" s="34" t="s">
        <v>54</v>
      </c>
      <c r="Y228" s="33">
        <v>64.29</v>
      </c>
      <c r="AC228" s="28">
        <v>64.29</v>
      </c>
      <c r="AD228" s="34" t="s">
        <v>54</v>
      </c>
      <c r="AE228" s="33">
        <v>64.29</v>
      </c>
      <c r="AN228" s="7" t="s">
        <v>54</v>
      </c>
      <c r="AO228" s="7" t="s">
        <v>55</v>
      </c>
      <c r="AP228" s="7" t="s">
        <v>56</v>
      </c>
      <c r="AT228" s="47" t="s">
        <v>57</v>
      </c>
      <c r="AU228" s="47" t="s">
        <v>57</v>
      </c>
    </row>
    <row r="229" spans="1:47">
      <c r="A229" s="4" t="s">
        <v>48</v>
      </c>
      <c r="C229" s="21"/>
      <c r="D229" s="22" t="s">
        <v>49</v>
      </c>
      <c r="G229" s="23">
        <v>45091</v>
      </c>
      <c r="H229" s="24" t="s">
        <v>731</v>
      </c>
      <c r="J229" s="28" t="s">
        <v>51</v>
      </c>
      <c r="L229" s="24" t="s">
        <v>732</v>
      </c>
      <c r="M229" s="1" t="str">
        <f>"341225199309282172"</f>
        <v>341225199309282172</v>
      </c>
      <c r="N229" s="24" t="s">
        <v>732</v>
      </c>
      <c r="O229" s="1" t="str">
        <f>"341225199309282172"</f>
        <v>341225199309282172</v>
      </c>
      <c r="P229" s="23" t="s">
        <v>733</v>
      </c>
      <c r="Q229" s="23">
        <v>45092</v>
      </c>
      <c r="R229" s="32">
        <v>45458</v>
      </c>
      <c r="V229" s="33">
        <v>100</v>
      </c>
      <c r="W229" s="28">
        <v>64.29</v>
      </c>
      <c r="X229" s="34" t="s">
        <v>54</v>
      </c>
      <c r="Y229" s="33">
        <v>64.29</v>
      </c>
      <c r="AC229" s="28">
        <v>64.29</v>
      </c>
      <c r="AD229" s="34" t="s">
        <v>54</v>
      </c>
      <c r="AE229" s="33">
        <v>64.29</v>
      </c>
      <c r="AN229" s="7" t="s">
        <v>54</v>
      </c>
      <c r="AO229" s="7" t="s">
        <v>55</v>
      </c>
      <c r="AP229" s="7" t="s">
        <v>56</v>
      </c>
      <c r="AT229" s="47" t="s">
        <v>57</v>
      </c>
      <c r="AU229" s="47" t="s">
        <v>57</v>
      </c>
    </row>
    <row r="230" spans="1:47">
      <c r="A230" s="4" t="s">
        <v>48</v>
      </c>
      <c r="C230" s="21"/>
      <c r="D230" s="22" t="s">
        <v>49</v>
      </c>
      <c r="G230" s="23">
        <v>45079</v>
      </c>
      <c r="H230" s="24" t="s">
        <v>734</v>
      </c>
      <c r="J230" s="28" t="s">
        <v>51</v>
      </c>
      <c r="L230" s="24" t="s">
        <v>735</v>
      </c>
      <c r="M230" s="1" t="str">
        <f>"341202197810151914"</f>
        <v>341202197810151914</v>
      </c>
      <c r="N230" s="24" t="s">
        <v>735</v>
      </c>
      <c r="O230" s="1" t="str">
        <f>"341202197810151914"</f>
        <v>341202197810151914</v>
      </c>
      <c r="P230" s="23" t="s">
        <v>736</v>
      </c>
      <c r="Q230" s="23">
        <v>45080</v>
      </c>
      <c r="R230" s="32">
        <v>45446</v>
      </c>
      <c r="V230" s="33">
        <v>100</v>
      </c>
      <c r="W230" s="28">
        <v>64.29</v>
      </c>
      <c r="X230" s="34" t="s">
        <v>54</v>
      </c>
      <c r="Y230" s="33">
        <v>64.29</v>
      </c>
      <c r="AC230" s="28">
        <v>64.29</v>
      </c>
      <c r="AD230" s="34" t="s">
        <v>54</v>
      </c>
      <c r="AE230" s="33">
        <v>64.29</v>
      </c>
      <c r="AN230" s="7" t="s">
        <v>54</v>
      </c>
      <c r="AO230" s="7" t="s">
        <v>55</v>
      </c>
      <c r="AP230" s="7" t="s">
        <v>56</v>
      </c>
      <c r="AT230" s="47" t="s">
        <v>57</v>
      </c>
      <c r="AU230" s="47" t="s">
        <v>57</v>
      </c>
    </row>
    <row r="231" spans="1:47">
      <c r="A231" s="4" t="s">
        <v>48</v>
      </c>
      <c r="C231" s="21"/>
      <c r="D231" s="22" t="s">
        <v>49</v>
      </c>
      <c r="G231" s="23">
        <v>45082</v>
      </c>
      <c r="H231" s="24" t="s">
        <v>737</v>
      </c>
      <c r="J231" s="28" t="s">
        <v>51</v>
      </c>
      <c r="L231" s="24" t="s">
        <v>738</v>
      </c>
      <c r="M231" s="1" t="str">
        <f>"342122197312178998"</f>
        <v>342122197312178998</v>
      </c>
      <c r="N231" s="24" t="s">
        <v>738</v>
      </c>
      <c r="O231" s="1" t="str">
        <f>"342122197312178998"</f>
        <v>342122197312178998</v>
      </c>
      <c r="P231" s="23" t="s">
        <v>739</v>
      </c>
      <c r="Q231" s="23">
        <v>45205</v>
      </c>
      <c r="R231" s="32">
        <v>45571</v>
      </c>
      <c r="V231" s="33">
        <v>100</v>
      </c>
      <c r="W231" s="28">
        <v>64.29</v>
      </c>
      <c r="X231" s="34" t="s">
        <v>54</v>
      </c>
      <c r="Y231" s="33">
        <v>64.29</v>
      </c>
      <c r="AC231" s="28">
        <v>64.29</v>
      </c>
      <c r="AD231" s="34" t="s">
        <v>54</v>
      </c>
      <c r="AE231" s="33">
        <v>64.29</v>
      </c>
      <c r="AN231" s="7" t="s">
        <v>54</v>
      </c>
      <c r="AO231" s="7" t="s">
        <v>55</v>
      </c>
      <c r="AP231" s="7" t="s">
        <v>56</v>
      </c>
      <c r="AT231" s="47" t="s">
        <v>57</v>
      </c>
      <c r="AU231" s="47" t="s">
        <v>57</v>
      </c>
    </row>
    <row r="232" spans="1:47">
      <c r="A232" s="4" t="s">
        <v>48</v>
      </c>
      <c r="C232" s="21"/>
      <c r="D232" s="22" t="s">
        <v>49</v>
      </c>
      <c r="G232" s="23">
        <v>45079</v>
      </c>
      <c r="H232" s="24" t="s">
        <v>740</v>
      </c>
      <c r="J232" s="28" t="s">
        <v>51</v>
      </c>
      <c r="L232" s="24" t="s">
        <v>741</v>
      </c>
      <c r="M232" s="1" t="str">
        <f>"340223199909082576"</f>
        <v>340223199909082576</v>
      </c>
      <c r="N232" s="24" t="s">
        <v>741</v>
      </c>
      <c r="O232" s="1" t="str">
        <f>"340223199909082576"</f>
        <v>340223199909082576</v>
      </c>
      <c r="P232" s="23" t="s">
        <v>742</v>
      </c>
      <c r="Q232" s="23">
        <v>45202</v>
      </c>
      <c r="R232" s="32">
        <v>45568</v>
      </c>
      <c r="V232" s="33">
        <v>100</v>
      </c>
      <c r="W232" s="28">
        <v>64.29</v>
      </c>
      <c r="X232" s="34" t="s">
        <v>54</v>
      </c>
      <c r="Y232" s="33">
        <v>64.29</v>
      </c>
      <c r="AC232" s="28">
        <v>64.29</v>
      </c>
      <c r="AD232" s="34" t="s">
        <v>54</v>
      </c>
      <c r="AE232" s="33">
        <v>64.29</v>
      </c>
      <c r="AN232" s="7" t="s">
        <v>54</v>
      </c>
      <c r="AO232" s="7" t="s">
        <v>55</v>
      </c>
      <c r="AP232" s="7" t="s">
        <v>56</v>
      </c>
      <c r="AT232" s="47" t="s">
        <v>57</v>
      </c>
      <c r="AU232" s="47" t="s">
        <v>57</v>
      </c>
    </row>
    <row r="233" spans="1:47">
      <c r="A233" s="4" t="s">
        <v>48</v>
      </c>
      <c r="C233" s="21"/>
      <c r="D233" s="22" t="s">
        <v>49</v>
      </c>
      <c r="G233" s="23">
        <v>45082</v>
      </c>
      <c r="H233" s="24" t="s">
        <v>743</v>
      </c>
      <c r="J233" s="28" t="s">
        <v>51</v>
      </c>
      <c r="L233" s="24" t="s">
        <v>744</v>
      </c>
      <c r="M233" s="1" t="str">
        <f>"342101196708310434"</f>
        <v>342101196708310434</v>
      </c>
      <c r="N233" s="24" t="s">
        <v>744</v>
      </c>
      <c r="O233" s="1" t="str">
        <f>"342101196708310434"</f>
        <v>342101196708310434</v>
      </c>
      <c r="P233" s="23" t="s">
        <v>745</v>
      </c>
      <c r="Q233" s="23">
        <v>45083</v>
      </c>
      <c r="R233" s="32">
        <v>45449</v>
      </c>
      <c r="V233" s="33">
        <v>100</v>
      </c>
      <c r="W233" s="28">
        <v>64.29</v>
      </c>
      <c r="X233" s="34" t="s">
        <v>54</v>
      </c>
      <c r="Y233" s="33">
        <v>64.29</v>
      </c>
      <c r="AC233" s="28">
        <v>64.29</v>
      </c>
      <c r="AD233" s="34" t="s">
        <v>54</v>
      </c>
      <c r="AE233" s="33">
        <v>64.29</v>
      </c>
      <c r="AN233" s="7" t="s">
        <v>54</v>
      </c>
      <c r="AO233" s="7" t="s">
        <v>55</v>
      </c>
      <c r="AP233" s="7" t="s">
        <v>56</v>
      </c>
      <c r="AT233" s="47" t="s">
        <v>57</v>
      </c>
      <c r="AU233" s="47" t="s">
        <v>57</v>
      </c>
    </row>
    <row r="234" spans="1:47">
      <c r="A234" s="4" t="s">
        <v>48</v>
      </c>
      <c r="C234" s="21"/>
      <c r="D234" s="22" t="s">
        <v>49</v>
      </c>
      <c r="G234" s="23">
        <v>45079</v>
      </c>
      <c r="H234" s="24" t="s">
        <v>746</v>
      </c>
      <c r="J234" s="28" t="s">
        <v>51</v>
      </c>
      <c r="L234" s="24" t="s">
        <v>747</v>
      </c>
      <c r="M234" s="1" t="str">
        <f>"34212819760530612X"</f>
        <v>34212819760530612X</v>
      </c>
      <c r="N234" s="24" t="s">
        <v>747</v>
      </c>
      <c r="O234" s="1" t="str">
        <f>"34212819760530612X"</f>
        <v>34212819760530612X</v>
      </c>
      <c r="P234" s="23" t="s">
        <v>748</v>
      </c>
      <c r="Q234" s="23">
        <v>45080</v>
      </c>
      <c r="R234" s="32">
        <v>45446</v>
      </c>
      <c r="V234" s="33">
        <v>200</v>
      </c>
      <c r="W234" s="28">
        <v>64.29</v>
      </c>
      <c r="X234" s="34" t="s">
        <v>54</v>
      </c>
      <c r="Y234" s="33">
        <v>128.58</v>
      </c>
      <c r="AC234" s="28">
        <v>64.29</v>
      </c>
      <c r="AD234" s="34" t="s">
        <v>54</v>
      </c>
      <c r="AE234" s="33">
        <v>128.58</v>
      </c>
      <c r="AN234" s="7" t="s">
        <v>54</v>
      </c>
      <c r="AO234" s="7" t="s">
        <v>55</v>
      </c>
      <c r="AP234" s="7" t="s">
        <v>56</v>
      </c>
      <c r="AT234" s="47" t="s">
        <v>57</v>
      </c>
      <c r="AU234" s="47" t="s">
        <v>57</v>
      </c>
    </row>
    <row r="235" spans="1:47">
      <c r="A235" s="4" t="s">
        <v>48</v>
      </c>
      <c r="C235" s="21"/>
      <c r="D235" s="22" t="s">
        <v>49</v>
      </c>
      <c r="G235" s="23">
        <v>45079</v>
      </c>
      <c r="H235" s="24" t="s">
        <v>749</v>
      </c>
      <c r="J235" s="28" t="s">
        <v>51</v>
      </c>
      <c r="L235" s="24" t="s">
        <v>750</v>
      </c>
      <c r="M235" s="1" t="str">
        <f>"341226200205012129"</f>
        <v>341226200205012129</v>
      </c>
      <c r="N235" s="24" t="s">
        <v>750</v>
      </c>
      <c r="O235" s="1" t="str">
        <f>"341226200205012129"</f>
        <v>341226200205012129</v>
      </c>
      <c r="P235" s="23" t="s">
        <v>751</v>
      </c>
      <c r="Q235" s="23">
        <v>45080</v>
      </c>
      <c r="R235" s="32">
        <v>45446</v>
      </c>
      <c r="V235" s="33">
        <v>200</v>
      </c>
      <c r="W235" s="28">
        <v>64.29</v>
      </c>
      <c r="X235" s="34" t="s">
        <v>54</v>
      </c>
      <c r="Y235" s="33">
        <v>128.58</v>
      </c>
      <c r="AC235" s="28">
        <v>64.29</v>
      </c>
      <c r="AD235" s="34" t="s">
        <v>54</v>
      </c>
      <c r="AE235" s="33">
        <v>128.58</v>
      </c>
      <c r="AN235" s="7" t="s">
        <v>54</v>
      </c>
      <c r="AO235" s="7" t="s">
        <v>55</v>
      </c>
      <c r="AP235" s="7" t="s">
        <v>56</v>
      </c>
      <c r="AT235" s="47" t="s">
        <v>57</v>
      </c>
      <c r="AU235" s="47" t="s">
        <v>57</v>
      </c>
    </row>
    <row r="236" spans="1:47">
      <c r="A236" s="4" t="s">
        <v>48</v>
      </c>
      <c r="C236" s="21"/>
      <c r="D236" s="22" t="s">
        <v>49</v>
      </c>
      <c r="G236" s="23">
        <v>45082</v>
      </c>
      <c r="H236" s="24" t="s">
        <v>752</v>
      </c>
      <c r="J236" s="28" t="s">
        <v>51</v>
      </c>
      <c r="L236" s="24" t="s">
        <v>753</v>
      </c>
      <c r="M236" s="1" t="str">
        <f>"342422198808296083"</f>
        <v>342422198808296083</v>
      </c>
      <c r="N236" s="24" t="s">
        <v>753</v>
      </c>
      <c r="O236" s="1" t="str">
        <f>"342422198808296083"</f>
        <v>342422198808296083</v>
      </c>
      <c r="P236" s="23" t="s">
        <v>754</v>
      </c>
      <c r="Q236" s="23">
        <v>45146</v>
      </c>
      <c r="R236" s="32">
        <v>45512</v>
      </c>
      <c r="V236" s="33">
        <v>200</v>
      </c>
      <c r="W236" s="28">
        <v>64.29</v>
      </c>
      <c r="X236" s="34" t="s">
        <v>54</v>
      </c>
      <c r="Y236" s="33">
        <v>128.58</v>
      </c>
      <c r="AC236" s="28">
        <v>64.29</v>
      </c>
      <c r="AD236" s="34" t="s">
        <v>54</v>
      </c>
      <c r="AE236" s="33">
        <v>128.58</v>
      </c>
      <c r="AN236" s="7" t="s">
        <v>54</v>
      </c>
      <c r="AO236" s="7" t="s">
        <v>55</v>
      </c>
      <c r="AP236" s="7" t="s">
        <v>56</v>
      </c>
      <c r="AT236" s="47" t="s">
        <v>57</v>
      </c>
      <c r="AU236" s="47" t="s">
        <v>57</v>
      </c>
    </row>
    <row r="237" spans="1:47">
      <c r="A237" s="4" t="s">
        <v>48</v>
      </c>
      <c r="C237" s="21"/>
      <c r="D237" s="22" t="s">
        <v>49</v>
      </c>
      <c r="G237" s="23">
        <v>45102</v>
      </c>
      <c r="H237" s="24" t="s">
        <v>755</v>
      </c>
      <c r="J237" s="28" t="s">
        <v>51</v>
      </c>
      <c r="L237" s="24" t="s">
        <v>756</v>
      </c>
      <c r="M237" s="1" t="str">
        <f>"342101198001072013"</f>
        <v>342101198001072013</v>
      </c>
      <c r="N237" s="24" t="s">
        <v>756</v>
      </c>
      <c r="O237" s="1" t="str">
        <f>"342101198001072013"</f>
        <v>342101198001072013</v>
      </c>
      <c r="P237" s="23" t="s">
        <v>757</v>
      </c>
      <c r="Q237" s="23">
        <v>45103</v>
      </c>
      <c r="R237" s="32">
        <v>45469</v>
      </c>
      <c r="V237" s="33">
        <v>50</v>
      </c>
      <c r="W237" s="28">
        <v>64.29</v>
      </c>
      <c r="X237" s="34" t="s">
        <v>54</v>
      </c>
      <c r="Y237" s="33">
        <v>32.15</v>
      </c>
      <c r="AC237" s="28">
        <v>64.29</v>
      </c>
      <c r="AD237" s="34" t="s">
        <v>54</v>
      </c>
      <c r="AE237" s="33">
        <v>32.15</v>
      </c>
      <c r="AN237" s="7" t="s">
        <v>54</v>
      </c>
      <c r="AO237" s="7" t="s">
        <v>55</v>
      </c>
      <c r="AP237" s="7" t="s">
        <v>56</v>
      </c>
      <c r="AT237" s="47" t="s">
        <v>57</v>
      </c>
      <c r="AU237" s="47" t="s">
        <v>57</v>
      </c>
    </row>
    <row r="238" spans="1:47">
      <c r="A238" s="4" t="s">
        <v>48</v>
      </c>
      <c r="C238" s="21"/>
      <c r="D238" s="22" t="s">
        <v>49</v>
      </c>
      <c r="G238" s="23">
        <v>45102</v>
      </c>
      <c r="H238" s="24" t="s">
        <v>758</v>
      </c>
      <c r="J238" s="28" t="s">
        <v>51</v>
      </c>
      <c r="L238" s="24" t="s">
        <v>759</v>
      </c>
      <c r="M238" s="1" t="str">
        <f>"342101195411092232"</f>
        <v>342101195411092232</v>
      </c>
      <c r="N238" s="24" t="s">
        <v>759</v>
      </c>
      <c r="O238" s="1" t="str">
        <f>"342101195411092232"</f>
        <v>342101195411092232</v>
      </c>
      <c r="P238" s="23" t="s">
        <v>760</v>
      </c>
      <c r="Q238" s="23">
        <v>45103</v>
      </c>
      <c r="R238" s="32">
        <v>45469</v>
      </c>
      <c r="V238" s="33">
        <v>50</v>
      </c>
      <c r="W238" s="28">
        <v>64.29</v>
      </c>
      <c r="X238" s="34" t="s">
        <v>54</v>
      </c>
      <c r="Y238" s="33">
        <v>32.15</v>
      </c>
      <c r="AC238" s="28">
        <v>64.29</v>
      </c>
      <c r="AD238" s="34" t="s">
        <v>54</v>
      </c>
      <c r="AE238" s="33">
        <v>32.15</v>
      </c>
      <c r="AN238" s="7" t="s">
        <v>54</v>
      </c>
      <c r="AO238" s="7" t="s">
        <v>55</v>
      </c>
      <c r="AP238" s="7" t="s">
        <v>56</v>
      </c>
      <c r="AT238" s="47" t="s">
        <v>57</v>
      </c>
      <c r="AU238" s="47" t="s">
        <v>57</v>
      </c>
    </row>
    <row r="239" spans="1:47">
      <c r="A239" s="4" t="s">
        <v>48</v>
      </c>
      <c r="C239" s="21"/>
      <c r="D239" s="22" t="s">
        <v>49</v>
      </c>
      <c r="G239" s="23">
        <v>45102</v>
      </c>
      <c r="H239" s="24" t="s">
        <v>761</v>
      </c>
      <c r="J239" s="28" t="s">
        <v>51</v>
      </c>
      <c r="L239" s="24" t="s">
        <v>762</v>
      </c>
      <c r="M239" s="1" t="str">
        <f>"341203199403100613"</f>
        <v>341203199403100613</v>
      </c>
      <c r="N239" s="24" t="s">
        <v>762</v>
      </c>
      <c r="O239" s="1" t="str">
        <f>"341203199403100613"</f>
        <v>341203199403100613</v>
      </c>
      <c r="P239" s="23" t="s">
        <v>763</v>
      </c>
      <c r="Q239" s="23">
        <v>45103</v>
      </c>
      <c r="R239" s="32">
        <v>45469</v>
      </c>
      <c r="V239" s="33">
        <v>50</v>
      </c>
      <c r="W239" s="28">
        <v>64.29</v>
      </c>
      <c r="X239" s="34" t="s">
        <v>54</v>
      </c>
      <c r="Y239" s="33">
        <v>32.15</v>
      </c>
      <c r="AC239" s="28">
        <v>64.29</v>
      </c>
      <c r="AD239" s="34" t="s">
        <v>54</v>
      </c>
      <c r="AE239" s="33">
        <v>32.15</v>
      </c>
      <c r="AN239" s="7" t="s">
        <v>54</v>
      </c>
      <c r="AO239" s="7" t="s">
        <v>55</v>
      </c>
      <c r="AP239" s="7" t="s">
        <v>56</v>
      </c>
      <c r="AT239" s="47" t="s">
        <v>57</v>
      </c>
      <c r="AU239" s="47" t="s">
        <v>57</v>
      </c>
    </row>
    <row r="240" spans="1:47">
      <c r="A240" s="4" t="s">
        <v>48</v>
      </c>
      <c r="C240" s="21"/>
      <c r="D240" s="22" t="s">
        <v>49</v>
      </c>
      <c r="G240" s="23">
        <v>45098</v>
      </c>
      <c r="H240" s="24" t="s">
        <v>764</v>
      </c>
      <c r="J240" s="28" t="s">
        <v>51</v>
      </c>
      <c r="L240" s="24" t="s">
        <v>765</v>
      </c>
      <c r="M240" s="1" t="str">
        <f>"342101197903032024"</f>
        <v>342101197903032024</v>
      </c>
      <c r="N240" s="24" t="s">
        <v>765</v>
      </c>
      <c r="O240" s="1" t="str">
        <f>"342101197903032024"</f>
        <v>342101197903032024</v>
      </c>
      <c r="P240" s="23" t="s">
        <v>766</v>
      </c>
      <c r="Q240" s="23">
        <v>45099</v>
      </c>
      <c r="R240" s="32">
        <v>45465</v>
      </c>
      <c r="V240" s="33">
        <v>50</v>
      </c>
      <c r="W240" s="28">
        <v>64.29</v>
      </c>
      <c r="X240" s="34" t="s">
        <v>54</v>
      </c>
      <c r="Y240" s="33">
        <v>32.15</v>
      </c>
      <c r="AC240" s="28">
        <v>64.29</v>
      </c>
      <c r="AD240" s="34" t="s">
        <v>54</v>
      </c>
      <c r="AE240" s="33">
        <v>32.15</v>
      </c>
      <c r="AN240" s="7" t="s">
        <v>54</v>
      </c>
      <c r="AO240" s="7" t="s">
        <v>55</v>
      </c>
      <c r="AP240" s="7" t="s">
        <v>56</v>
      </c>
      <c r="AT240" s="47" t="s">
        <v>57</v>
      </c>
      <c r="AU240" s="47" t="s">
        <v>57</v>
      </c>
    </row>
    <row r="241" spans="1:47">
      <c r="A241" s="4" t="s">
        <v>48</v>
      </c>
      <c r="C241" s="21"/>
      <c r="D241" s="22" t="s">
        <v>49</v>
      </c>
      <c r="G241" s="23">
        <v>45100</v>
      </c>
      <c r="H241" s="24" t="s">
        <v>767</v>
      </c>
      <c r="J241" s="28" t="s">
        <v>51</v>
      </c>
      <c r="L241" s="24" t="s">
        <v>768</v>
      </c>
      <c r="M241" s="1" t="str">
        <f>"342101197112102014"</f>
        <v>342101197112102014</v>
      </c>
      <c r="N241" s="24" t="s">
        <v>768</v>
      </c>
      <c r="O241" s="1" t="str">
        <f>"342101197112102014"</f>
        <v>342101197112102014</v>
      </c>
      <c r="P241" s="23" t="s">
        <v>769</v>
      </c>
      <c r="Q241" s="23">
        <v>45101</v>
      </c>
      <c r="R241" s="32">
        <v>45467</v>
      </c>
      <c r="V241" s="33">
        <v>100</v>
      </c>
      <c r="W241" s="28">
        <v>64.29</v>
      </c>
      <c r="X241" s="34" t="s">
        <v>54</v>
      </c>
      <c r="Y241" s="33">
        <v>64.29</v>
      </c>
      <c r="AC241" s="28">
        <v>64.29</v>
      </c>
      <c r="AD241" s="34" t="s">
        <v>54</v>
      </c>
      <c r="AE241" s="33">
        <v>64.29</v>
      </c>
      <c r="AN241" s="7" t="s">
        <v>54</v>
      </c>
      <c r="AO241" s="7" t="s">
        <v>55</v>
      </c>
      <c r="AP241" s="7" t="s">
        <v>56</v>
      </c>
      <c r="AT241" s="47" t="s">
        <v>57</v>
      </c>
      <c r="AU241" s="47" t="s">
        <v>57</v>
      </c>
    </row>
    <row r="242" spans="1:47">
      <c r="A242" s="4" t="s">
        <v>48</v>
      </c>
      <c r="C242" s="21"/>
      <c r="D242" s="22" t="s">
        <v>49</v>
      </c>
      <c r="G242" s="23">
        <v>45100</v>
      </c>
      <c r="H242" s="24" t="s">
        <v>770</v>
      </c>
      <c r="J242" s="28" t="s">
        <v>51</v>
      </c>
      <c r="L242" s="24" t="s">
        <v>771</v>
      </c>
      <c r="M242" s="1" t="str">
        <f>"342101197305052017"</f>
        <v>342101197305052017</v>
      </c>
      <c r="N242" s="24" t="s">
        <v>771</v>
      </c>
      <c r="O242" s="1" t="str">
        <f>"342101197305052017"</f>
        <v>342101197305052017</v>
      </c>
      <c r="P242" s="23" t="s">
        <v>772</v>
      </c>
      <c r="Q242" s="23">
        <v>45101</v>
      </c>
      <c r="R242" s="32">
        <v>45467</v>
      </c>
      <c r="V242" s="33">
        <v>100</v>
      </c>
      <c r="W242" s="28">
        <v>64.29</v>
      </c>
      <c r="X242" s="34" t="s">
        <v>54</v>
      </c>
      <c r="Y242" s="33">
        <v>64.29</v>
      </c>
      <c r="AC242" s="28">
        <v>64.29</v>
      </c>
      <c r="AD242" s="34" t="s">
        <v>54</v>
      </c>
      <c r="AE242" s="33">
        <v>64.29</v>
      </c>
      <c r="AN242" s="7" t="s">
        <v>54</v>
      </c>
      <c r="AO242" s="7" t="s">
        <v>55</v>
      </c>
      <c r="AP242" s="7" t="s">
        <v>56</v>
      </c>
      <c r="AT242" s="47" t="s">
        <v>57</v>
      </c>
      <c r="AU242" s="47" t="s">
        <v>57</v>
      </c>
    </row>
    <row r="243" spans="1:47">
      <c r="A243" s="4" t="s">
        <v>48</v>
      </c>
      <c r="C243" s="21"/>
      <c r="D243" s="22" t="s">
        <v>49</v>
      </c>
      <c r="G243" s="23">
        <v>45102</v>
      </c>
      <c r="H243" s="24" t="s">
        <v>773</v>
      </c>
      <c r="J243" s="28" t="s">
        <v>51</v>
      </c>
      <c r="L243" s="24" t="s">
        <v>774</v>
      </c>
      <c r="M243" s="1" t="str">
        <f>"341203198604101212"</f>
        <v>341203198604101212</v>
      </c>
      <c r="N243" s="24" t="s">
        <v>774</v>
      </c>
      <c r="O243" s="1" t="str">
        <f>"341203198604101212"</f>
        <v>341203198604101212</v>
      </c>
      <c r="P243" s="23" t="s">
        <v>775</v>
      </c>
      <c r="Q243" s="23">
        <v>45103</v>
      </c>
      <c r="R243" s="32">
        <v>45469</v>
      </c>
      <c r="V243" s="33">
        <v>100</v>
      </c>
      <c r="W243" s="28">
        <v>64.29</v>
      </c>
      <c r="X243" s="34" t="s">
        <v>54</v>
      </c>
      <c r="Y243" s="33">
        <v>64.29</v>
      </c>
      <c r="AC243" s="28">
        <v>64.29</v>
      </c>
      <c r="AD243" s="34" t="s">
        <v>54</v>
      </c>
      <c r="AE243" s="33">
        <v>64.29</v>
      </c>
      <c r="AN243" s="7" t="s">
        <v>54</v>
      </c>
      <c r="AO243" s="7" t="s">
        <v>55</v>
      </c>
      <c r="AP243" s="7" t="s">
        <v>56</v>
      </c>
      <c r="AT243" s="47" t="s">
        <v>57</v>
      </c>
      <c r="AU243" s="47" t="s">
        <v>57</v>
      </c>
    </row>
    <row r="244" spans="1:47">
      <c r="A244" s="4" t="s">
        <v>48</v>
      </c>
      <c r="C244" s="21"/>
      <c r="D244" s="22" t="s">
        <v>49</v>
      </c>
      <c r="G244" s="23">
        <v>45102</v>
      </c>
      <c r="H244" s="24" t="s">
        <v>776</v>
      </c>
      <c r="J244" s="28" t="s">
        <v>51</v>
      </c>
      <c r="L244" s="24" t="s">
        <v>777</v>
      </c>
      <c r="M244" s="1" t="str">
        <f>"342101196312252039"</f>
        <v>342101196312252039</v>
      </c>
      <c r="N244" s="24" t="s">
        <v>777</v>
      </c>
      <c r="O244" s="1" t="str">
        <f>"342101196312252039"</f>
        <v>342101196312252039</v>
      </c>
      <c r="P244" s="23" t="s">
        <v>778</v>
      </c>
      <c r="Q244" s="23">
        <v>45103</v>
      </c>
      <c r="R244" s="32">
        <v>45469</v>
      </c>
      <c r="V244" s="33">
        <v>100</v>
      </c>
      <c r="W244" s="28">
        <v>64.29</v>
      </c>
      <c r="X244" s="34" t="s">
        <v>54</v>
      </c>
      <c r="Y244" s="33">
        <v>64.29</v>
      </c>
      <c r="AC244" s="28">
        <v>64.29</v>
      </c>
      <c r="AD244" s="34" t="s">
        <v>54</v>
      </c>
      <c r="AE244" s="33">
        <v>64.29</v>
      </c>
      <c r="AN244" s="7" t="s">
        <v>54</v>
      </c>
      <c r="AO244" s="7" t="s">
        <v>55</v>
      </c>
      <c r="AP244" s="7" t="s">
        <v>56</v>
      </c>
      <c r="AT244" s="47" t="s">
        <v>57</v>
      </c>
      <c r="AU244" s="47" t="s">
        <v>57</v>
      </c>
    </row>
    <row r="245" spans="1:47">
      <c r="A245" s="4" t="s">
        <v>48</v>
      </c>
      <c r="C245" s="21"/>
      <c r="D245" s="22" t="s">
        <v>49</v>
      </c>
      <c r="G245" s="23">
        <v>45102</v>
      </c>
      <c r="H245" s="24" t="s">
        <v>779</v>
      </c>
      <c r="J245" s="28" t="s">
        <v>51</v>
      </c>
      <c r="L245" s="24" t="s">
        <v>780</v>
      </c>
      <c r="M245" s="1" t="str">
        <f>"342101198008232016"</f>
        <v>342101198008232016</v>
      </c>
      <c r="N245" s="24" t="s">
        <v>780</v>
      </c>
      <c r="O245" s="1" t="str">
        <f>"342101198008232016"</f>
        <v>342101198008232016</v>
      </c>
      <c r="P245" s="23" t="s">
        <v>781</v>
      </c>
      <c r="Q245" s="23">
        <v>45103</v>
      </c>
      <c r="R245" s="32">
        <v>45469</v>
      </c>
      <c r="V245" s="33">
        <v>100</v>
      </c>
      <c r="W245" s="28">
        <v>64.29</v>
      </c>
      <c r="X245" s="34" t="s">
        <v>54</v>
      </c>
      <c r="Y245" s="33">
        <v>64.29</v>
      </c>
      <c r="AC245" s="28">
        <v>64.29</v>
      </c>
      <c r="AD245" s="34" t="s">
        <v>54</v>
      </c>
      <c r="AE245" s="33">
        <v>64.29</v>
      </c>
      <c r="AN245" s="7" t="s">
        <v>54</v>
      </c>
      <c r="AO245" s="7" t="s">
        <v>55</v>
      </c>
      <c r="AP245" s="7" t="s">
        <v>56</v>
      </c>
      <c r="AT245" s="47" t="s">
        <v>57</v>
      </c>
      <c r="AU245" s="47" t="s">
        <v>57</v>
      </c>
    </row>
    <row r="246" spans="1:47">
      <c r="A246" s="4" t="s">
        <v>48</v>
      </c>
      <c r="C246" s="21"/>
      <c r="D246" s="22" t="s">
        <v>49</v>
      </c>
      <c r="G246" s="23">
        <v>45092</v>
      </c>
      <c r="H246" s="24" t="s">
        <v>782</v>
      </c>
      <c r="J246" s="28" t="s">
        <v>51</v>
      </c>
      <c r="L246" s="24" t="s">
        <v>783</v>
      </c>
      <c r="M246" s="1" t="str">
        <f>"130731199509141512"</f>
        <v>130731199509141512</v>
      </c>
      <c r="N246" s="24" t="s">
        <v>783</v>
      </c>
      <c r="O246" s="1" t="str">
        <f>"130731199509141512"</f>
        <v>130731199509141512</v>
      </c>
      <c r="P246" s="23" t="s">
        <v>784</v>
      </c>
      <c r="Q246" s="23">
        <v>45107</v>
      </c>
      <c r="R246" s="32">
        <v>45473</v>
      </c>
      <c r="V246" s="33">
        <v>100</v>
      </c>
      <c r="W246" s="28">
        <v>64.29</v>
      </c>
      <c r="X246" s="34" t="s">
        <v>54</v>
      </c>
      <c r="Y246" s="33">
        <v>64.29</v>
      </c>
      <c r="AC246" s="28">
        <v>64.29</v>
      </c>
      <c r="AD246" s="34" t="s">
        <v>54</v>
      </c>
      <c r="AE246" s="33">
        <v>64.29</v>
      </c>
      <c r="AN246" s="7" t="s">
        <v>54</v>
      </c>
      <c r="AO246" s="7" t="s">
        <v>55</v>
      </c>
      <c r="AP246" s="7" t="s">
        <v>56</v>
      </c>
      <c r="AT246" s="47" t="s">
        <v>57</v>
      </c>
      <c r="AU246" s="47" t="s">
        <v>57</v>
      </c>
    </row>
    <row r="247" spans="1:47">
      <c r="A247" s="4" t="s">
        <v>48</v>
      </c>
      <c r="C247" s="21"/>
      <c r="D247" s="22" t="s">
        <v>49</v>
      </c>
      <c r="G247" s="23">
        <v>45092</v>
      </c>
      <c r="H247" s="24" t="s">
        <v>785</v>
      </c>
      <c r="J247" s="28" t="s">
        <v>51</v>
      </c>
      <c r="L247" s="24" t="s">
        <v>786</v>
      </c>
      <c r="M247" s="1" t="str">
        <f>"34210119510916301X"</f>
        <v>34210119510916301X</v>
      </c>
      <c r="N247" s="24" t="s">
        <v>786</v>
      </c>
      <c r="O247" s="1" t="str">
        <f>"34210119510916301X"</f>
        <v>34210119510916301X</v>
      </c>
      <c r="P247" s="23" t="s">
        <v>787</v>
      </c>
      <c r="Q247" s="23">
        <v>45185</v>
      </c>
      <c r="R247" s="32">
        <v>45551</v>
      </c>
      <c r="V247" s="33">
        <v>100</v>
      </c>
      <c r="W247" s="28">
        <v>64.29</v>
      </c>
      <c r="X247" s="34" t="s">
        <v>54</v>
      </c>
      <c r="Y247" s="33">
        <v>64.29</v>
      </c>
      <c r="AC247" s="28">
        <v>64.29</v>
      </c>
      <c r="AD247" s="34" t="s">
        <v>54</v>
      </c>
      <c r="AE247" s="33">
        <v>64.29</v>
      </c>
      <c r="AN247" s="7" t="s">
        <v>54</v>
      </c>
      <c r="AO247" s="7" t="s">
        <v>55</v>
      </c>
      <c r="AP247" s="7" t="s">
        <v>56</v>
      </c>
      <c r="AT247" s="47" t="s">
        <v>57</v>
      </c>
      <c r="AU247" s="47" t="s">
        <v>57</v>
      </c>
    </row>
    <row r="248" spans="1:47">
      <c r="A248" s="4" t="s">
        <v>48</v>
      </c>
      <c r="C248" s="21"/>
      <c r="D248" s="22" t="s">
        <v>49</v>
      </c>
      <c r="G248" s="23">
        <v>45092</v>
      </c>
      <c r="H248" s="24" t="s">
        <v>788</v>
      </c>
      <c r="J248" s="28" t="s">
        <v>51</v>
      </c>
      <c r="L248" s="24" t="s">
        <v>789</v>
      </c>
      <c r="M248" s="1" t="str">
        <f>"341225197610031234"</f>
        <v>341225197610031234</v>
      </c>
      <c r="N248" s="24" t="s">
        <v>789</v>
      </c>
      <c r="O248" s="1" t="str">
        <f>"341225197610031234"</f>
        <v>341225197610031234</v>
      </c>
      <c r="P248" s="23" t="s">
        <v>790</v>
      </c>
      <c r="Q248" s="23">
        <v>45183</v>
      </c>
      <c r="R248" s="32">
        <v>45549</v>
      </c>
      <c r="V248" s="33">
        <v>100</v>
      </c>
      <c r="W248" s="28">
        <v>64.29</v>
      </c>
      <c r="X248" s="34" t="s">
        <v>54</v>
      </c>
      <c r="Y248" s="33">
        <v>64.29</v>
      </c>
      <c r="AC248" s="28">
        <v>64.29</v>
      </c>
      <c r="AD248" s="34" t="s">
        <v>54</v>
      </c>
      <c r="AE248" s="33">
        <v>64.29</v>
      </c>
      <c r="AN248" s="7" t="s">
        <v>54</v>
      </c>
      <c r="AO248" s="7" t="s">
        <v>55</v>
      </c>
      <c r="AP248" s="7" t="s">
        <v>56</v>
      </c>
      <c r="AT248" s="47" t="s">
        <v>57</v>
      </c>
      <c r="AU248" s="47" t="s">
        <v>57</v>
      </c>
    </row>
    <row r="249" spans="1:47">
      <c r="A249" s="4" t="s">
        <v>48</v>
      </c>
      <c r="C249" s="21"/>
      <c r="D249" s="22" t="s">
        <v>49</v>
      </c>
      <c r="G249" s="23">
        <v>45089</v>
      </c>
      <c r="H249" s="24" t="s">
        <v>791</v>
      </c>
      <c r="J249" s="28" t="s">
        <v>51</v>
      </c>
      <c r="L249" s="24" t="s">
        <v>792</v>
      </c>
      <c r="M249" s="1" t="str">
        <f>"341226199306121580"</f>
        <v>341226199306121580</v>
      </c>
      <c r="N249" s="24" t="s">
        <v>792</v>
      </c>
      <c r="O249" s="1" t="str">
        <f>"341226199306121580"</f>
        <v>341226199306121580</v>
      </c>
      <c r="P249" s="23" t="s">
        <v>793</v>
      </c>
      <c r="Q249" s="23">
        <v>45212</v>
      </c>
      <c r="R249" s="32">
        <v>45578</v>
      </c>
      <c r="V249" s="33">
        <v>100</v>
      </c>
      <c r="W249" s="28">
        <v>64.29</v>
      </c>
      <c r="X249" s="34" t="s">
        <v>54</v>
      </c>
      <c r="Y249" s="33">
        <v>64.29</v>
      </c>
      <c r="AC249" s="28">
        <v>64.29</v>
      </c>
      <c r="AD249" s="34" t="s">
        <v>54</v>
      </c>
      <c r="AE249" s="33">
        <v>64.29</v>
      </c>
      <c r="AN249" s="7" t="s">
        <v>54</v>
      </c>
      <c r="AO249" s="7" t="s">
        <v>55</v>
      </c>
      <c r="AP249" s="7" t="s">
        <v>56</v>
      </c>
      <c r="AT249" s="47" t="s">
        <v>57</v>
      </c>
      <c r="AU249" s="47" t="s">
        <v>57</v>
      </c>
    </row>
    <row r="250" spans="1:47">
      <c r="A250" s="4" t="s">
        <v>48</v>
      </c>
      <c r="C250" s="21"/>
      <c r="D250" s="22" t="s">
        <v>49</v>
      </c>
      <c r="G250" s="23">
        <v>45082</v>
      </c>
      <c r="H250" s="24" t="s">
        <v>794</v>
      </c>
      <c r="J250" s="28" t="s">
        <v>51</v>
      </c>
      <c r="L250" s="24" t="s">
        <v>795</v>
      </c>
      <c r="M250" s="1" t="str">
        <f>"131082199905020416"</f>
        <v>131082199905020416</v>
      </c>
      <c r="N250" s="24" t="s">
        <v>795</v>
      </c>
      <c r="O250" s="1" t="str">
        <f>"131082199905020416"</f>
        <v>131082199905020416</v>
      </c>
      <c r="P250" s="23" t="s">
        <v>796</v>
      </c>
      <c r="Q250" s="23">
        <v>45205</v>
      </c>
      <c r="R250" s="32">
        <v>45571</v>
      </c>
      <c r="V250" s="33">
        <v>100</v>
      </c>
      <c r="W250" s="28">
        <v>64.29</v>
      </c>
      <c r="X250" s="34" t="s">
        <v>54</v>
      </c>
      <c r="Y250" s="33">
        <v>64.29</v>
      </c>
      <c r="AC250" s="28">
        <v>64.29</v>
      </c>
      <c r="AD250" s="34" t="s">
        <v>54</v>
      </c>
      <c r="AE250" s="33">
        <v>64.29</v>
      </c>
      <c r="AN250" s="7" t="s">
        <v>54</v>
      </c>
      <c r="AO250" s="7" t="s">
        <v>55</v>
      </c>
      <c r="AP250" s="7" t="s">
        <v>56</v>
      </c>
      <c r="AT250" s="47" t="s">
        <v>57</v>
      </c>
      <c r="AU250" s="47" t="s">
        <v>57</v>
      </c>
    </row>
    <row r="251" spans="1:47">
      <c r="A251" s="4" t="s">
        <v>48</v>
      </c>
      <c r="C251" s="21"/>
      <c r="D251" s="22" t="s">
        <v>49</v>
      </c>
      <c r="G251" s="23">
        <v>45078</v>
      </c>
      <c r="H251" s="24" t="s">
        <v>797</v>
      </c>
      <c r="J251" s="28" t="s">
        <v>51</v>
      </c>
      <c r="L251" s="24" t="s">
        <v>798</v>
      </c>
      <c r="M251" s="1" t="str">
        <f>"341202198904172710"</f>
        <v>341202198904172710</v>
      </c>
      <c r="N251" s="24" t="s">
        <v>798</v>
      </c>
      <c r="O251" s="1" t="str">
        <f>"341202198904172710"</f>
        <v>341202198904172710</v>
      </c>
      <c r="P251" s="23" t="s">
        <v>799</v>
      </c>
      <c r="Q251" s="23">
        <v>45079</v>
      </c>
      <c r="R251" s="32">
        <v>45445</v>
      </c>
      <c r="V251" s="33">
        <v>100</v>
      </c>
      <c r="W251" s="28">
        <v>64.29</v>
      </c>
      <c r="X251" s="34" t="s">
        <v>54</v>
      </c>
      <c r="Y251" s="33">
        <v>64.29</v>
      </c>
      <c r="AC251" s="28">
        <v>64.29</v>
      </c>
      <c r="AD251" s="34" t="s">
        <v>54</v>
      </c>
      <c r="AE251" s="33">
        <v>64.29</v>
      </c>
      <c r="AN251" s="7" t="s">
        <v>54</v>
      </c>
      <c r="AO251" s="7" t="s">
        <v>55</v>
      </c>
      <c r="AP251" s="7" t="s">
        <v>56</v>
      </c>
      <c r="AT251" s="47" t="s">
        <v>57</v>
      </c>
      <c r="AU251" s="47" t="s">
        <v>57</v>
      </c>
    </row>
    <row r="252" spans="1:47">
      <c r="A252" s="4" t="s">
        <v>48</v>
      </c>
      <c r="C252" s="21"/>
      <c r="D252" s="22" t="s">
        <v>49</v>
      </c>
      <c r="G252" s="23">
        <v>45078</v>
      </c>
      <c r="H252" s="24" t="s">
        <v>800</v>
      </c>
      <c r="J252" s="28" t="s">
        <v>51</v>
      </c>
      <c r="L252" s="24" t="s">
        <v>801</v>
      </c>
      <c r="M252" s="1" t="str">
        <f>"341227199104196417"</f>
        <v>341227199104196417</v>
      </c>
      <c r="N252" s="24" t="s">
        <v>801</v>
      </c>
      <c r="O252" s="1" t="str">
        <f>"341227199104196417"</f>
        <v>341227199104196417</v>
      </c>
      <c r="P252" s="23" t="s">
        <v>802</v>
      </c>
      <c r="Q252" s="23">
        <v>45079</v>
      </c>
      <c r="R252" s="32">
        <v>45445</v>
      </c>
      <c r="V252" s="33">
        <v>100</v>
      </c>
      <c r="W252" s="28">
        <v>64.29</v>
      </c>
      <c r="X252" s="34" t="s">
        <v>54</v>
      </c>
      <c r="Y252" s="33">
        <v>64.29</v>
      </c>
      <c r="AC252" s="28">
        <v>64.29</v>
      </c>
      <c r="AD252" s="34" t="s">
        <v>54</v>
      </c>
      <c r="AE252" s="33">
        <v>64.29</v>
      </c>
      <c r="AN252" s="7" t="s">
        <v>54</v>
      </c>
      <c r="AO252" s="7" t="s">
        <v>55</v>
      </c>
      <c r="AP252" s="7" t="s">
        <v>56</v>
      </c>
      <c r="AT252" s="47" t="s">
        <v>57</v>
      </c>
      <c r="AU252" s="47" t="s">
        <v>57</v>
      </c>
    </row>
    <row r="253" spans="1:47">
      <c r="A253" s="4" t="s">
        <v>48</v>
      </c>
      <c r="C253" s="21"/>
      <c r="D253" s="22" t="s">
        <v>49</v>
      </c>
      <c r="G253" s="23">
        <v>45078</v>
      </c>
      <c r="H253" s="24" t="s">
        <v>803</v>
      </c>
      <c r="J253" s="28" t="s">
        <v>51</v>
      </c>
      <c r="L253" s="24" t="s">
        <v>804</v>
      </c>
      <c r="M253" s="1" t="str">
        <f>"342101198103049375"</f>
        <v>342101198103049375</v>
      </c>
      <c r="N253" s="24" t="s">
        <v>804</v>
      </c>
      <c r="O253" s="1" t="str">
        <f>"342101198103049375"</f>
        <v>342101198103049375</v>
      </c>
      <c r="P253" s="23" t="s">
        <v>805</v>
      </c>
      <c r="Q253" s="23">
        <v>45123</v>
      </c>
      <c r="R253" s="32">
        <v>45489</v>
      </c>
      <c r="V253" s="33">
        <v>100</v>
      </c>
      <c r="W253" s="28">
        <v>64.29</v>
      </c>
      <c r="X253" s="34" t="s">
        <v>54</v>
      </c>
      <c r="Y253" s="33">
        <v>64.29</v>
      </c>
      <c r="AC253" s="28">
        <v>64.29</v>
      </c>
      <c r="AD253" s="34" t="s">
        <v>54</v>
      </c>
      <c r="AE253" s="33">
        <v>64.29</v>
      </c>
      <c r="AN253" s="7" t="s">
        <v>54</v>
      </c>
      <c r="AO253" s="7" t="s">
        <v>55</v>
      </c>
      <c r="AP253" s="7" t="s">
        <v>56</v>
      </c>
      <c r="AT253" s="47" t="s">
        <v>57</v>
      </c>
      <c r="AU253" s="47" t="s">
        <v>57</v>
      </c>
    </row>
    <row r="254" spans="1:47">
      <c r="A254" s="4" t="s">
        <v>48</v>
      </c>
      <c r="C254" s="21"/>
      <c r="D254" s="22" t="s">
        <v>49</v>
      </c>
      <c r="G254" s="23">
        <v>45082</v>
      </c>
      <c r="H254" s="24" t="s">
        <v>806</v>
      </c>
      <c r="J254" s="28" t="s">
        <v>51</v>
      </c>
      <c r="L254" s="24" t="s">
        <v>807</v>
      </c>
      <c r="M254" s="1" t="str">
        <f>"341225197706102017"</f>
        <v>341225197706102017</v>
      </c>
      <c r="N254" s="24" t="s">
        <v>807</v>
      </c>
      <c r="O254" s="1" t="str">
        <f>"341225197706102017"</f>
        <v>341225197706102017</v>
      </c>
      <c r="P254" s="23" t="s">
        <v>808</v>
      </c>
      <c r="Q254" s="23">
        <v>45083</v>
      </c>
      <c r="R254" s="32">
        <v>45449</v>
      </c>
      <c r="V254" s="33">
        <v>200</v>
      </c>
      <c r="W254" s="28">
        <v>64.29</v>
      </c>
      <c r="X254" s="34" t="s">
        <v>54</v>
      </c>
      <c r="Y254" s="33">
        <v>128.58</v>
      </c>
      <c r="AC254" s="28">
        <v>64.29</v>
      </c>
      <c r="AD254" s="34" t="s">
        <v>54</v>
      </c>
      <c r="AE254" s="33">
        <v>128.58</v>
      </c>
      <c r="AN254" s="7" t="s">
        <v>54</v>
      </c>
      <c r="AO254" s="7" t="s">
        <v>55</v>
      </c>
      <c r="AP254" s="7" t="s">
        <v>56</v>
      </c>
      <c r="AT254" s="47" t="s">
        <v>57</v>
      </c>
      <c r="AU254" s="47" t="s">
        <v>57</v>
      </c>
    </row>
    <row r="255" spans="1:47">
      <c r="A255" s="4" t="s">
        <v>48</v>
      </c>
      <c r="C255" s="21"/>
      <c r="D255" s="22" t="s">
        <v>49</v>
      </c>
      <c r="G255" s="23">
        <v>45079</v>
      </c>
      <c r="H255" s="24" t="s">
        <v>809</v>
      </c>
      <c r="J255" s="28" t="s">
        <v>51</v>
      </c>
      <c r="L255" s="24" t="s">
        <v>810</v>
      </c>
      <c r="M255" s="1" t="str">
        <f>"341226196808104744"</f>
        <v>341226196808104744</v>
      </c>
      <c r="N255" s="24" t="s">
        <v>810</v>
      </c>
      <c r="O255" s="1" t="str">
        <f>"341226196808104744"</f>
        <v>341226196808104744</v>
      </c>
      <c r="P255" s="23" t="s">
        <v>811</v>
      </c>
      <c r="Q255" s="23">
        <v>45080</v>
      </c>
      <c r="R255" s="32">
        <v>45446</v>
      </c>
      <c r="V255" s="33">
        <v>200</v>
      </c>
      <c r="W255" s="28">
        <v>64.29</v>
      </c>
      <c r="X255" s="34" t="s">
        <v>54</v>
      </c>
      <c r="Y255" s="33">
        <v>128.58</v>
      </c>
      <c r="AC255" s="28">
        <v>64.29</v>
      </c>
      <c r="AD255" s="34" t="s">
        <v>54</v>
      </c>
      <c r="AE255" s="33">
        <v>128.58</v>
      </c>
      <c r="AN255" s="7" t="s">
        <v>54</v>
      </c>
      <c r="AO255" s="7" t="s">
        <v>55</v>
      </c>
      <c r="AP255" s="7" t="s">
        <v>56</v>
      </c>
      <c r="AT255" s="47" t="s">
        <v>57</v>
      </c>
      <c r="AU255" s="47" t="s">
        <v>57</v>
      </c>
    </row>
    <row r="256" spans="1:47">
      <c r="A256" s="4" t="s">
        <v>48</v>
      </c>
      <c r="C256" s="21"/>
      <c r="D256" s="22" t="s">
        <v>49</v>
      </c>
      <c r="G256" s="23">
        <v>45079</v>
      </c>
      <c r="H256" s="24" t="s">
        <v>812</v>
      </c>
      <c r="J256" s="28" t="s">
        <v>51</v>
      </c>
      <c r="L256" s="24" t="s">
        <v>813</v>
      </c>
      <c r="M256" s="1" t="str">
        <f>"340321197903241808"</f>
        <v>340321197903241808</v>
      </c>
      <c r="N256" s="24" t="s">
        <v>813</v>
      </c>
      <c r="O256" s="1" t="str">
        <f>"340321197903241808"</f>
        <v>340321197903241808</v>
      </c>
      <c r="P256" s="23" t="s">
        <v>814</v>
      </c>
      <c r="Q256" s="23">
        <v>45200</v>
      </c>
      <c r="R256" s="32">
        <v>45566</v>
      </c>
      <c r="V256" s="33">
        <v>200</v>
      </c>
      <c r="W256" s="28">
        <v>64.29</v>
      </c>
      <c r="X256" s="34" t="s">
        <v>54</v>
      </c>
      <c r="Y256" s="33">
        <v>128.58</v>
      </c>
      <c r="AC256" s="28">
        <v>64.29</v>
      </c>
      <c r="AD256" s="34" t="s">
        <v>54</v>
      </c>
      <c r="AE256" s="33">
        <v>128.58</v>
      </c>
      <c r="AN256" s="7" t="s">
        <v>54</v>
      </c>
      <c r="AO256" s="7" t="s">
        <v>55</v>
      </c>
      <c r="AP256" s="7" t="s">
        <v>56</v>
      </c>
      <c r="AT256" s="47" t="s">
        <v>57</v>
      </c>
      <c r="AU256" s="47" t="s">
        <v>57</v>
      </c>
    </row>
    <row r="257" spans="1:47">
      <c r="A257" s="4" t="s">
        <v>48</v>
      </c>
      <c r="C257" s="21"/>
      <c r="D257" s="22" t="s">
        <v>49</v>
      </c>
      <c r="G257" s="23">
        <v>45078</v>
      </c>
      <c r="H257" s="24" t="s">
        <v>815</v>
      </c>
      <c r="J257" s="28" t="s">
        <v>51</v>
      </c>
      <c r="L257" s="24" t="s">
        <v>816</v>
      </c>
      <c r="M257" s="1" t="str">
        <f>"341226196808104744"</f>
        <v>341226196808104744</v>
      </c>
      <c r="N257" s="24" t="s">
        <v>816</v>
      </c>
      <c r="O257" s="1" t="str">
        <f>"341226196808104744"</f>
        <v>341226196808104744</v>
      </c>
      <c r="P257" s="23" t="s">
        <v>811</v>
      </c>
      <c r="Q257" s="23">
        <v>45140</v>
      </c>
      <c r="R257" s="32">
        <v>45506</v>
      </c>
      <c r="V257" s="33">
        <v>200</v>
      </c>
      <c r="W257" s="28">
        <v>64.29</v>
      </c>
      <c r="X257" s="34" t="s">
        <v>54</v>
      </c>
      <c r="Y257" s="33">
        <v>128.58</v>
      </c>
      <c r="AC257" s="28">
        <v>64.29</v>
      </c>
      <c r="AD257" s="34" t="s">
        <v>54</v>
      </c>
      <c r="AE257" s="33">
        <v>128.58</v>
      </c>
      <c r="AN257" s="7" t="s">
        <v>54</v>
      </c>
      <c r="AO257" s="7" t="s">
        <v>55</v>
      </c>
      <c r="AP257" s="7" t="s">
        <v>56</v>
      </c>
      <c r="AT257" s="47" t="s">
        <v>57</v>
      </c>
      <c r="AU257" s="47" t="s">
        <v>57</v>
      </c>
    </row>
    <row r="258" spans="1:47">
      <c r="A258" s="4" t="s">
        <v>48</v>
      </c>
      <c r="C258" s="21"/>
      <c r="D258" s="22" t="s">
        <v>49</v>
      </c>
      <c r="G258" s="23">
        <v>45078</v>
      </c>
      <c r="H258" s="24" t="s">
        <v>817</v>
      </c>
      <c r="J258" s="28" t="s">
        <v>51</v>
      </c>
      <c r="L258" s="24" t="s">
        <v>818</v>
      </c>
      <c r="M258" s="1" t="str">
        <f>"433101198504090013"</f>
        <v>433101198504090013</v>
      </c>
      <c r="N258" s="24" t="s">
        <v>818</v>
      </c>
      <c r="O258" s="1" t="str">
        <f>"433101198504090013"</f>
        <v>433101198504090013</v>
      </c>
      <c r="P258" s="23" t="s">
        <v>819</v>
      </c>
      <c r="Q258" s="23">
        <v>45289</v>
      </c>
      <c r="R258" s="32">
        <v>45655</v>
      </c>
      <c r="V258" s="33">
        <v>200</v>
      </c>
      <c r="W258" s="28">
        <v>64.29</v>
      </c>
      <c r="X258" s="34" t="s">
        <v>54</v>
      </c>
      <c r="Y258" s="33">
        <v>128.58</v>
      </c>
      <c r="AC258" s="28">
        <v>64.29</v>
      </c>
      <c r="AD258" s="34" t="s">
        <v>54</v>
      </c>
      <c r="AE258" s="33">
        <v>128.58</v>
      </c>
      <c r="AN258" s="7" t="s">
        <v>54</v>
      </c>
      <c r="AO258" s="7" t="s">
        <v>55</v>
      </c>
      <c r="AP258" s="7" t="s">
        <v>56</v>
      </c>
      <c r="AT258" s="47" t="s">
        <v>57</v>
      </c>
      <c r="AU258" s="47" t="s">
        <v>57</v>
      </c>
    </row>
    <row r="259" spans="1:47">
      <c r="A259" s="4" t="s">
        <v>48</v>
      </c>
      <c r="C259" s="21"/>
      <c r="D259" s="22" t="s">
        <v>49</v>
      </c>
      <c r="G259" s="23">
        <v>45077</v>
      </c>
      <c r="H259" s="24" t="s">
        <v>820</v>
      </c>
      <c r="J259" s="28" t="s">
        <v>51</v>
      </c>
      <c r="L259" s="24" t="s">
        <v>821</v>
      </c>
      <c r="M259" s="1" t="str">
        <f>"372901199504286623"</f>
        <v>372901199504286623</v>
      </c>
      <c r="N259" s="24" t="s">
        <v>821</v>
      </c>
      <c r="O259" s="1" t="str">
        <f>"372901199504286623"</f>
        <v>372901199504286623</v>
      </c>
      <c r="P259" s="23" t="s">
        <v>822</v>
      </c>
      <c r="Q259" s="23">
        <v>45170</v>
      </c>
      <c r="R259" s="32">
        <v>45536</v>
      </c>
      <c r="V259" s="33">
        <v>200</v>
      </c>
      <c r="W259" s="28">
        <v>64.29</v>
      </c>
      <c r="X259" s="34" t="s">
        <v>54</v>
      </c>
      <c r="Y259" s="33">
        <v>128.58</v>
      </c>
      <c r="AC259" s="28">
        <v>64.29</v>
      </c>
      <c r="AD259" s="34" t="s">
        <v>54</v>
      </c>
      <c r="AE259" s="33">
        <v>128.58</v>
      </c>
      <c r="AN259" s="7" t="s">
        <v>54</v>
      </c>
      <c r="AO259" s="7" t="s">
        <v>55</v>
      </c>
      <c r="AP259" s="7" t="s">
        <v>56</v>
      </c>
      <c r="AT259" s="47" t="s">
        <v>57</v>
      </c>
      <c r="AU259" s="47" t="s">
        <v>57</v>
      </c>
    </row>
    <row r="260" spans="1:47">
      <c r="A260" s="4" t="s">
        <v>48</v>
      </c>
      <c r="C260" s="21"/>
      <c r="D260" s="22" t="s">
        <v>49</v>
      </c>
      <c r="G260" s="23">
        <v>45077</v>
      </c>
      <c r="H260" s="24" t="s">
        <v>823</v>
      </c>
      <c r="J260" s="28" t="s">
        <v>51</v>
      </c>
      <c r="L260" s="24" t="s">
        <v>824</v>
      </c>
      <c r="M260" s="1" t="str">
        <f>"120222195703306217"</f>
        <v>120222195703306217</v>
      </c>
      <c r="N260" s="24" t="s">
        <v>824</v>
      </c>
      <c r="O260" s="1" t="str">
        <f>"120222195703306217"</f>
        <v>120222195703306217</v>
      </c>
      <c r="P260" s="23" t="s">
        <v>825</v>
      </c>
      <c r="Q260" s="23">
        <v>45078</v>
      </c>
      <c r="R260" s="32">
        <v>45444</v>
      </c>
      <c r="V260" s="33">
        <v>200</v>
      </c>
      <c r="W260" s="28">
        <v>64.29</v>
      </c>
      <c r="X260" s="34" t="s">
        <v>54</v>
      </c>
      <c r="Y260" s="33">
        <v>128.58</v>
      </c>
      <c r="AC260" s="28">
        <v>64.29</v>
      </c>
      <c r="AD260" s="34" t="s">
        <v>54</v>
      </c>
      <c r="AE260" s="33">
        <v>128.58</v>
      </c>
      <c r="AN260" s="7" t="s">
        <v>54</v>
      </c>
      <c r="AO260" s="7" t="s">
        <v>55</v>
      </c>
      <c r="AP260" s="7" t="s">
        <v>56</v>
      </c>
      <c r="AT260" s="47" t="s">
        <v>57</v>
      </c>
      <c r="AU260" s="47" t="s">
        <v>57</v>
      </c>
    </row>
    <row r="261" spans="1:47">
      <c r="A261" s="4" t="s">
        <v>48</v>
      </c>
      <c r="C261" s="21"/>
      <c r="D261" s="22" t="s">
        <v>49</v>
      </c>
      <c r="G261" s="23">
        <v>45100</v>
      </c>
      <c r="H261" s="24" t="s">
        <v>826</v>
      </c>
      <c r="J261" s="28" t="s">
        <v>51</v>
      </c>
      <c r="L261" s="24" t="s">
        <v>827</v>
      </c>
      <c r="M261" s="1" t="str">
        <f>"210921198512179320"</f>
        <v>210921198512179320</v>
      </c>
      <c r="N261" s="24" t="s">
        <v>827</v>
      </c>
      <c r="O261" s="1" t="str">
        <f>"210921198512179320"</f>
        <v>210921198512179320</v>
      </c>
      <c r="P261" s="23" t="s">
        <v>828</v>
      </c>
      <c r="Q261" s="23">
        <v>45101</v>
      </c>
      <c r="R261" s="32">
        <v>45467</v>
      </c>
      <c r="V261" s="33">
        <v>50</v>
      </c>
      <c r="W261" s="28">
        <v>64.29</v>
      </c>
      <c r="X261" s="34" t="s">
        <v>54</v>
      </c>
      <c r="Y261" s="33">
        <v>32.15</v>
      </c>
      <c r="AC261" s="28">
        <v>64.29</v>
      </c>
      <c r="AD261" s="34" t="s">
        <v>54</v>
      </c>
      <c r="AE261" s="33">
        <v>32.15</v>
      </c>
      <c r="AN261" s="7" t="s">
        <v>54</v>
      </c>
      <c r="AO261" s="7" t="s">
        <v>55</v>
      </c>
      <c r="AP261" s="7" t="s">
        <v>56</v>
      </c>
      <c r="AT261" s="47" t="s">
        <v>57</v>
      </c>
      <c r="AU261" s="47" t="s">
        <v>57</v>
      </c>
    </row>
    <row r="262" spans="1:47">
      <c r="A262" s="4" t="s">
        <v>48</v>
      </c>
      <c r="C262" s="21"/>
      <c r="D262" s="22" t="s">
        <v>49</v>
      </c>
      <c r="G262" s="23">
        <v>45097</v>
      </c>
      <c r="H262" s="24" t="s">
        <v>829</v>
      </c>
      <c r="J262" s="28" t="s">
        <v>51</v>
      </c>
      <c r="L262" s="24" t="s">
        <v>830</v>
      </c>
      <c r="M262" s="1" t="str">
        <f>"341226199202093810"</f>
        <v>341226199202093810</v>
      </c>
      <c r="N262" s="24" t="s">
        <v>830</v>
      </c>
      <c r="O262" s="1" t="str">
        <f>"341226199202093810"</f>
        <v>341226199202093810</v>
      </c>
      <c r="P262" s="23" t="s">
        <v>831</v>
      </c>
      <c r="Q262" s="23">
        <v>45098</v>
      </c>
      <c r="R262" s="32">
        <v>45464</v>
      </c>
      <c r="V262" s="33">
        <v>50</v>
      </c>
      <c r="W262" s="28">
        <v>64.29</v>
      </c>
      <c r="X262" s="34" t="s">
        <v>54</v>
      </c>
      <c r="Y262" s="33">
        <v>32.15</v>
      </c>
      <c r="AC262" s="28">
        <v>64.29</v>
      </c>
      <c r="AD262" s="34" t="s">
        <v>54</v>
      </c>
      <c r="AE262" s="33">
        <v>32.15</v>
      </c>
      <c r="AN262" s="7" t="s">
        <v>54</v>
      </c>
      <c r="AO262" s="7" t="s">
        <v>55</v>
      </c>
      <c r="AP262" s="7" t="s">
        <v>56</v>
      </c>
      <c r="AT262" s="47" t="s">
        <v>57</v>
      </c>
      <c r="AU262" s="47" t="s">
        <v>57</v>
      </c>
    </row>
    <row r="263" spans="1:47">
      <c r="A263" s="4" t="s">
        <v>48</v>
      </c>
      <c r="C263" s="21"/>
      <c r="D263" s="22" t="s">
        <v>49</v>
      </c>
      <c r="G263" s="23">
        <v>45096</v>
      </c>
      <c r="H263" s="24" t="s">
        <v>832</v>
      </c>
      <c r="J263" s="28" t="s">
        <v>51</v>
      </c>
      <c r="L263" s="24" t="s">
        <v>833</v>
      </c>
      <c r="M263" s="1" t="str">
        <f>"341226198709284726"</f>
        <v>341226198709284726</v>
      </c>
      <c r="N263" s="24" t="s">
        <v>833</v>
      </c>
      <c r="O263" s="1" t="str">
        <f>"341226198709284726"</f>
        <v>341226198709284726</v>
      </c>
      <c r="P263" s="23" t="s">
        <v>834</v>
      </c>
      <c r="Q263" s="23">
        <v>45097</v>
      </c>
      <c r="R263" s="32">
        <v>45463</v>
      </c>
      <c r="V263" s="33">
        <v>50</v>
      </c>
      <c r="W263" s="28">
        <v>64.29</v>
      </c>
      <c r="X263" s="34" t="s">
        <v>54</v>
      </c>
      <c r="Y263" s="33">
        <v>32.15</v>
      </c>
      <c r="AC263" s="28">
        <v>64.29</v>
      </c>
      <c r="AD263" s="34" t="s">
        <v>54</v>
      </c>
      <c r="AE263" s="33">
        <v>32.15</v>
      </c>
      <c r="AN263" s="7" t="s">
        <v>54</v>
      </c>
      <c r="AO263" s="7" t="s">
        <v>55</v>
      </c>
      <c r="AP263" s="7" t="s">
        <v>56</v>
      </c>
      <c r="AT263" s="47" t="s">
        <v>57</v>
      </c>
      <c r="AU263" s="47" t="s">
        <v>57</v>
      </c>
    </row>
    <row r="264" spans="1:47">
      <c r="A264" s="4" t="s">
        <v>48</v>
      </c>
      <c r="C264" s="21"/>
      <c r="D264" s="22" t="s">
        <v>49</v>
      </c>
      <c r="G264" s="23">
        <v>45102</v>
      </c>
      <c r="H264" s="24" t="s">
        <v>835</v>
      </c>
      <c r="J264" s="28" t="s">
        <v>51</v>
      </c>
      <c r="L264" s="24" t="s">
        <v>836</v>
      </c>
      <c r="M264" s="1" t="str">
        <f>"341226198501154754"</f>
        <v>341226198501154754</v>
      </c>
      <c r="N264" s="24" t="s">
        <v>836</v>
      </c>
      <c r="O264" s="1" t="str">
        <f>"341226198501154754"</f>
        <v>341226198501154754</v>
      </c>
      <c r="P264" s="23" t="s">
        <v>834</v>
      </c>
      <c r="Q264" s="23">
        <v>45133</v>
      </c>
      <c r="R264" s="32">
        <v>45499</v>
      </c>
      <c r="V264" s="33">
        <v>100</v>
      </c>
      <c r="W264" s="28">
        <v>64.29</v>
      </c>
      <c r="X264" s="34" t="s">
        <v>54</v>
      </c>
      <c r="Y264" s="33">
        <v>64.29</v>
      </c>
      <c r="AC264" s="28">
        <v>64.29</v>
      </c>
      <c r="AD264" s="34" t="s">
        <v>54</v>
      </c>
      <c r="AE264" s="33">
        <v>64.29</v>
      </c>
      <c r="AN264" s="7" t="s">
        <v>54</v>
      </c>
      <c r="AO264" s="7" t="s">
        <v>55</v>
      </c>
      <c r="AP264" s="7" t="s">
        <v>56</v>
      </c>
      <c r="AT264" s="47" t="s">
        <v>57</v>
      </c>
      <c r="AU264" s="47" t="s">
        <v>57</v>
      </c>
    </row>
    <row r="265" spans="1:47">
      <c r="A265" s="4" t="s">
        <v>48</v>
      </c>
      <c r="C265" s="21"/>
      <c r="D265" s="22" t="s">
        <v>49</v>
      </c>
      <c r="G265" s="23">
        <v>45102</v>
      </c>
      <c r="H265" s="24" t="s">
        <v>837</v>
      </c>
      <c r="J265" s="28" t="s">
        <v>51</v>
      </c>
      <c r="L265" s="24" t="s">
        <v>838</v>
      </c>
      <c r="M265" s="1" t="str">
        <f>"120222197110061620"</f>
        <v>120222197110061620</v>
      </c>
      <c r="N265" s="24" t="s">
        <v>838</v>
      </c>
      <c r="O265" s="1" t="str">
        <f>"120222197110061620"</f>
        <v>120222197110061620</v>
      </c>
      <c r="P265" s="23" t="s">
        <v>839</v>
      </c>
      <c r="Q265" s="23">
        <v>45103</v>
      </c>
      <c r="R265" s="32">
        <v>45469</v>
      </c>
      <c r="V265" s="33">
        <v>100</v>
      </c>
      <c r="W265" s="28">
        <v>64.29</v>
      </c>
      <c r="X265" s="34" t="s">
        <v>54</v>
      </c>
      <c r="Y265" s="33">
        <v>64.29</v>
      </c>
      <c r="AC265" s="28">
        <v>64.29</v>
      </c>
      <c r="AD265" s="34" t="s">
        <v>54</v>
      </c>
      <c r="AE265" s="33">
        <v>64.29</v>
      </c>
      <c r="AN265" s="7" t="s">
        <v>54</v>
      </c>
      <c r="AO265" s="7" t="s">
        <v>55</v>
      </c>
      <c r="AP265" s="7" t="s">
        <v>56</v>
      </c>
      <c r="AT265" s="47" t="s">
        <v>57</v>
      </c>
      <c r="AU265" s="47" t="s">
        <v>57</v>
      </c>
    </row>
    <row r="266" spans="1:47">
      <c r="A266" s="4" t="s">
        <v>48</v>
      </c>
      <c r="C266" s="21"/>
      <c r="D266" s="22" t="s">
        <v>49</v>
      </c>
      <c r="G266" s="23">
        <v>45099</v>
      </c>
      <c r="H266" s="24" t="s">
        <v>840</v>
      </c>
      <c r="J266" s="28" t="s">
        <v>51</v>
      </c>
      <c r="L266" s="24" t="s">
        <v>841</v>
      </c>
      <c r="M266" s="1" t="str">
        <f>"130184198606061069"</f>
        <v>130184198606061069</v>
      </c>
      <c r="N266" s="24" t="s">
        <v>841</v>
      </c>
      <c r="O266" s="1" t="str">
        <f>"130184198606061069"</f>
        <v>130184198606061069</v>
      </c>
      <c r="P266" s="23" t="s">
        <v>842</v>
      </c>
      <c r="Q266" s="23">
        <v>45100</v>
      </c>
      <c r="R266" s="32">
        <v>45466</v>
      </c>
      <c r="V266" s="33">
        <v>100</v>
      </c>
      <c r="W266" s="28">
        <v>64.29</v>
      </c>
      <c r="X266" s="34" t="s">
        <v>54</v>
      </c>
      <c r="Y266" s="33">
        <v>64.29</v>
      </c>
      <c r="AC266" s="28">
        <v>64.29</v>
      </c>
      <c r="AD266" s="34" t="s">
        <v>54</v>
      </c>
      <c r="AE266" s="33">
        <v>64.29</v>
      </c>
      <c r="AN266" s="7" t="s">
        <v>54</v>
      </c>
      <c r="AO266" s="7" t="s">
        <v>55</v>
      </c>
      <c r="AP266" s="7" t="s">
        <v>56</v>
      </c>
      <c r="AT266" s="47" t="s">
        <v>57</v>
      </c>
      <c r="AU266" s="47" t="s">
        <v>57</v>
      </c>
    </row>
    <row r="267" spans="1:47">
      <c r="A267" s="4" t="s">
        <v>48</v>
      </c>
      <c r="C267" s="21"/>
      <c r="D267" s="22" t="s">
        <v>49</v>
      </c>
      <c r="G267" s="23">
        <v>45090</v>
      </c>
      <c r="H267" s="24" t="s">
        <v>843</v>
      </c>
      <c r="J267" s="28" t="s">
        <v>51</v>
      </c>
      <c r="L267" s="24" t="s">
        <v>844</v>
      </c>
      <c r="M267" s="1" t="str">
        <f>"120222195105295220"</f>
        <v>120222195105295220</v>
      </c>
      <c r="N267" s="24" t="s">
        <v>844</v>
      </c>
      <c r="O267" s="1" t="str">
        <f>"120222195105295220"</f>
        <v>120222195105295220</v>
      </c>
      <c r="P267" s="23" t="s">
        <v>845</v>
      </c>
      <c r="Q267" s="23">
        <v>45301</v>
      </c>
      <c r="R267" s="32">
        <v>45667</v>
      </c>
      <c r="V267" s="33">
        <v>100</v>
      </c>
      <c r="W267" s="28">
        <v>64.29</v>
      </c>
      <c r="X267" s="34" t="s">
        <v>54</v>
      </c>
      <c r="Y267" s="33">
        <v>64.29</v>
      </c>
      <c r="AC267" s="28">
        <v>64.29</v>
      </c>
      <c r="AD267" s="34" t="s">
        <v>54</v>
      </c>
      <c r="AE267" s="33">
        <v>64.29</v>
      </c>
      <c r="AN267" s="7" t="s">
        <v>54</v>
      </c>
      <c r="AO267" s="7" t="s">
        <v>55</v>
      </c>
      <c r="AP267" s="7" t="s">
        <v>56</v>
      </c>
      <c r="AT267" s="47" t="s">
        <v>57</v>
      </c>
      <c r="AU267" s="47" t="s">
        <v>57</v>
      </c>
    </row>
    <row r="268" spans="1:47">
      <c r="A268" s="4" t="s">
        <v>48</v>
      </c>
      <c r="C268" s="21"/>
      <c r="D268" s="22" t="s">
        <v>49</v>
      </c>
      <c r="G268" s="23">
        <v>45090</v>
      </c>
      <c r="H268" s="24" t="s">
        <v>846</v>
      </c>
      <c r="J268" s="28" t="s">
        <v>51</v>
      </c>
      <c r="L268" s="24" t="s">
        <v>847</v>
      </c>
      <c r="M268" s="1" t="str">
        <f>"210904197106030028"</f>
        <v>210904197106030028</v>
      </c>
      <c r="N268" s="24" t="s">
        <v>847</v>
      </c>
      <c r="O268" s="1" t="str">
        <f>"210904197106030028"</f>
        <v>210904197106030028</v>
      </c>
      <c r="P268" s="23" t="s">
        <v>848</v>
      </c>
      <c r="Q268" s="23">
        <v>45091</v>
      </c>
      <c r="R268" s="32">
        <v>45457</v>
      </c>
      <c r="V268" s="33">
        <v>100</v>
      </c>
      <c r="W268" s="28">
        <v>64.29</v>
      </c>
      <c r="X268" s="34" t="s">
        <v>54</v>
      </c>
      <c r="Y268" s="33">
        <v>64.29</v>
      </c>
      <c r="AC268" s="28">
        <v>64.29</v>
      </c>
      <c r="AD268" s="34" t="s">
        <v>54</v>
      </c>
      <c r="AE268" s="33">
        <v>64.29</v>
      </c>
      <c r="AN268" s="7" t="s">
        <v>54</v>
      </c>
      <c r="AO268" s="7" t="s">
        <v>55</v>
      </c>
      <c r="AP268" s="7" t="s">
        <v>56</v>
      </c>
      <c r="AT268" s="47" t="s">
        <v>57</v>
      </c>
      <c r="AU268" s="47" t="s">
        <v>57</v>
      </c>
    </row>
    <row r="269" spans="1:47">
      <c r="A269" s="4" t="s">
        <v>48</v>
      </c>
      <c r="C269" s="21"/>
      <c r="D269" s="22" t="s">
        <v>49</v>
      </c>
      <c r="G269" s="23">
        <v>45090</v>
      </c>
      <c r="H269" s="24" t="s">
        <v>849</v>
      </c>
      <c r="J269" s="28" t="s">
        <v>51</v>
      </c>
      <c r="L269" s="24" t="s">
        <v>850</v>
      </c>
      <c r="M269" s="1" t="str">
        <f>"15042619810213083X"</f>
        <v>15042619810213083X</v>
      </c>
      <c r="N269" s="24" t="s">
        <v>850</v>
      </c>
      <c r="O269" s="1" t="str">
        <f>"15042619810213083X"</f>
        <v>15042619810213083X</v>
      </c>
      <c r="P269" s="23" t="s">
        <v>851</v>
      </c>
      <c r="Q269" s="23">
        <v>45091</v>
      </c>
      <c r="R269" s="32">
        <v>45457</v>
      </c>
      <c r="V269" s="33">
        <v>100</v>
      </c>
      <c r="W269" s="28">
        <v>64.29</v>
      </c>
      <c r="X269" s="34" t="s">
        <v>54</v>
      </c>
      <c r="Y269" s="33">
        <v>64.29</v>
      </c>
      <c r="AC269" s="28">
        <v>64.29</v>
      </c>
      <c r="AD269" s="34" t="s">
        <v>54</v>
      </c>
      <c r="AE269" s="33">
        <v>64.29</v>
      </c>
      <c r="AN269" s="7" t="s">
        <v>54</v>
      </c>
      <c r="AO269" s="7" t="s">
        <v>55</v>
      </c>
      <c r="AP269" s="7" t="s">
        <v>56</v>
      </c>
      <c r="AT269" s="47" t="s">
        <v>57</v>
      </c>
      <c r="AU269" s="47" t="s">
        <v>57</v>
      </c>
    </row>
    <row r="270" spans="1:47">
      <c r="A270" s="4" t="s">
        <v>48</v>
      </c>
      <c r="C270" s="21"/>
      <c r="D270" s="22" t="s">
        <v>49</v>
      </c>
      <c r="G270" s="23">
        <v>45089</v>
      </c>
      <c r="H270" s="24" t="s">
        <v>852</v>
      </c>
      <c r="J270" s="28" t="s">
        <v>51</v>
      </c>
      <c r="L270" s="24" t="s">
        <v>853</v>
      </c>
      <c r="M270" s="1" t="str">
        <f>"132530197809170038"</f>
        <v>132530197809170038</v>
      </c>
      <c r="N270" s="24" t="s">
        <v>853</v>
      </c>
      <c r="O270" s="1" t="str">
        <f>"132530197809170038"</f>
        <v>132530197809170038</v>
      </c>
      <c r="P270" s="23" t="s">
        <v>854</v>
      </c>
      <c r="Q270" s="23">
        <v>45090</v>
      </c>
      <c r="R270" s="32">
        <v>45456</v>
      </c>
      <c r="V270" s="33">
        <v>100</v>
      </c>
      <c r="W270" s="28">
        <v>64.29</v>
      </c>
      <c r="X270" s="34" t="s">
        <v>54</v>
      </c>
      <c r="Y270" s="33">
        <v>64.29</v>
      </c>
      <c r="AC270" s="28">
        <v>64.29</v>
      </c>
      <c r="AD270" s="34" t="s">
        <v>54</v>
      </c>
      <c r="AE270" s="33">
        <v>64.29</v>
      </c>
      <c r="AN270" s="7" t="s">
        <v>54</v>
      </c>
      <c r="AO270" s="7" t="s">
        <v>55</v>
      </c>
      <c r="AP270" s="7" t="s">
        <v>56</v>
      </c>
      <c r="AT270" s="47" t="s">
        <v>57</v>
      </c>
      <c r="AU270" s="47" t="s">
        <v>57</v>
      </c>
    </row>
    <row r="271" spans="1:47">
      <c r="A271" s="4" t="s">
        <v>48</v>
      </c>
      <c r="C271" s="21"/>
      <c r="D271" s="22" t="s">
        <v>49</v>
      </c>
      <c r="G271" s="23">
        <v>45077</v>
      </c>
      <c r="H271" s="24" t="s">
        <v>855</v>
      </c>
      <c r="J271" s="28" t="s">
        <v>51</v>
      </c>
      <c r="L271" s="24" t="s">
        <v>856</v>
      </c>
      <c r="M271" s="1" t="str">
        <f>"110101195609173025"</f>
        <v>110101195609173025</v>
      </c>
      <c r="N271" s="24" t="s">
        <v>856</v>
      </c>
      <c r="O271" s="1" t="str">
        <f>"110101195609173025"</f>
        <v>110101195609173025</v>
      </c>
      <c r="P271" s="23" t="s">
        <v>857</v>
      </c>
      <c r="Q271" s="23">
        <v>45288</v>
      </c>
      <c r="R271" s="32">
        <v>45654</v>
      </c>
      <c r="V271" s="33">
        <v>100</v>
      </c>
      <c r="W271" s="28">
        <v>64.29</v>
      </c>
      <c r="X271" s="34" t="s">
        <v>54</v>
      </c>
      <c r="Y271" s="33">
        <v>64.29</v>
      </c>
      <c r="AC271" s="28">
        <v>64.29</v>
      </c>
      <c r="AD271" s="34" t="s">
        <v>54</v>
      </c>
      <c r="AE271" s="33">
        <v>64.29</v>
      </c>
      <c r="AN271" s="7" t="s">
        <v>54</v>
      </c>
      <c r="AO271" s="7" t="s">
        <v>55</v>
      </c>
      <c r="AP271" s="7" t="s">
        <v>56</v>
      </c>
      <c r="AT271" s="47" t="s">
        <v>57</v>
      </c>
      <c r="AU271" s="47" t="s">
        <v>57</v>
      </c>
    </row>
    <row r="272" spans="1:47">
      <c r="A272" s="4" t="s">
        <v>48</v>
      </c>
      <c r="C272" s="21"/>
      <c r="D272" s="22" t="s">
        <v>49</v>
      </c>
      <c r="G272" s="23">
        <v>45077</v>
      </c>
      <c r="H272" s="24" t="s">
        <v>858</v>
      </c>
      <c r="J272" s="28" t="s">
        <v>51</v>
      </c>
      <c r="L272" s="24" t="s">
        <v>859</v>
      </c>
      <c r="M272" s="1" t="str">
        <f>"23233219770311122X"</f>
        <v>23233219770311122X</v>
      </c>
      <c r="N272" s="24" t="s">
        <v>859</v>
      </c>
      <c r="O272" s="1" t="str">
        <f>"23233219770311122X"</f>
        <v>23233219770311122X</v>
      </c>
      <c r="P272" s="23" t="s">
        <v>860</v>
      </c>
      <c r="Q272" s="23">
        <v>45288</v>
      </c>
      <c r="R272" s="32">
        <v>45654</v>
      </c>
      <c r="V272" s="33">
        <v>100</v>
      </c>
      <c r="W272" s="28">
        <v>64.29</v>
      </c>
      <c r="X272" s="34" t="s">
        <v>54</v>
      </c>
      <c r="Y272" s="33">
        <v>64.29</v>
      </c>
      <c r="AC272" s="28">
        <v>64.29</v>
      </c>
      <c r="AD272" s="34" t="s">
        <v>54</v>
      </c>
      <c r="AE272" s="33">
        <v>64.29</v>
      </c>
      <c r="AN272" s="7" t="s">
        <v>54</v>
      </c>
      <c r="AO272" s="7" t="s">
        <v>55</v>
      </c>
      <c r="AP272" s="7" t="s">
        <v>56</v>
      </c>
      <c r="AT272" s="47" t="s">
        <v>57</v>
      </c>
      <c r="AU272" s="47" t="s">
        <v>57</v>
      </c>
    </row>
    <row r="273" spans="1:47">
      <c r="A273" s="4" t="s">
        <v>48</v>
      </c>
      <c r="C273" s="21"/>
      <c r="D273" s="22" t="s">
        <v>49</v>
      </c>
      <c r="G273" s="23">
        <v>45078</v>
      </c>
      <c r="H273" s="24" t="s">
        <v>861</v>
      </c>
      <c r="J273" s="28" t="s">
        <v>51</v>
      </c>
      <c r="L273" s="24" t="s">
        <v>862</v>
      </c>
      <c r="M273" s="1" t="str">
        <f>"132823197808023426"</f>
        <v>132823197808023426</v>
      </c>
      <c r="N273" s="24" t="s">
        <v>862</v>
      </c>
      <c r="O273" s="1" t="str">
        <f>"132823197808023426"</f>
        <v>132823197808023426</v>
      </c>
      <c r="P273" s="23" t="s">
        <v>863</v>
      </c>
      <c r="Q273" s="23">
        <v>45079</v>
      </c>
      <c r="R273" s="32">
        <v>45445</v>
      </c>
      <c r="V273" s="33">
        <v>100</v>
      </c>
      <c r="W273" s="28">
        <v>64.29</v>
      </c>
      <c r="X273" s="34" t="s">
        <v>54</v>
      </c>
      <c r="Y273" s="33">
        <v>64.29</v>
      </c>
      <c r="AC273" s="28">
        <v>64.29</v>
      </c>
      <c r="AD273" s="34" t="s">
        <v>54</v>
      </c>
      <c r="AE273" s="33">
        <v>64.29</v>
      </c>
      <c r="AN273" s="7" t="s">
        <v>54</v>
      </c>
      <c r="AO273" s="7" t="s">
        <v>55</v>
      </c>
      <c r="AP273" s="7" t="s">
        <v>56</v>
      </c>
      <c r="AT273" s="47" t="s">
        <v>57</v>
      </c>
      <c r="AU273" s="47" t="s">
        <v>57</v>
      </c>
    </row>
    <row r="274" spans="1:47">
      <c r="A274" s="4" t="s">
        <v>48</v>
      </c>
      <c r="C274" s="21"/>
      <c r="D274" s="22" t="s">
        <v>49</v>
      </c>
      <c r="G274" s="23">
        <v>45078</v>
      </c>
      <c r="H274" s="24" t="s">
        <v>864</v>
      </c>
      <c r="J274" s="28" t="s">
        <v>51</v>
      </c>
      <c r="L274" s="24" t="s">
        <v>865</v>
      </c>
      <c r="M274" s="1" t="str">
        <f>"21142119851027562X"</f>
        <v>21142119851027562X</v>
      </c>
      <c r="N274" s="24" t="s">
        <v>865</v>
      </c>
      <c r="O274" s="1" t="str">
        <f>"21142119851027562X"</f>
        <v>21142119851027562X</v>
      </c>
      <c r="P274" s="23" t="s">
        <v>866</v>
      </c>
      <c r="Q274" s="23">
        <v>45079</v>
      </c>
      <c r="R274" s="32">
        <v>45445</v>
      </c>
      <c r="V274" s="33">
        <v>200</v>
      </c>
      <c r="W274" s="28">
        <v>64.29</v>
      </c>
      <c r="X274" s="34" t="s">
        <v>54</v>
      </c>
      <c r="Y274" s="33">
        <v>128.58</v>
      </c>
      <c r="AC274" s="28">
        <v>64.29</v>
      </c>
      <c r="AD274" s="34" t="s">
        <v>54</v>
      </c>
      <c r="AE274" s="33">
        <v>128.58</v>
      </c>
      <c r="AN274" s="7" t="s">
        <v>54</v>
      </c>
      <c r="AO274" s="7" t="s">
        <v>55</v>
      </c>
      <c r="AP274" s="7" t="s">
        <v>56</v>
      </c>
      <c r="AT274" s="47" t="s">
        <v>57</v>
      </c>
      <c r="AU274" s="47" t="s">
        <v>57</v>
      </c>
    </row>
    <row r="275" spans="1:47">
      <c r="A275" s="4" t="s">
        <v>48</v>
      </c>
      <c r="C275" s="21"/>
      <c r="D275" s="22" t="s">
        <v>49</v>
      </c>
      <c r="G275" s="23">
        <v>45098</v>
      </c>
      <c r="H275" s="24" t="s">
        <v>867</v>
      </c>
      <c r="J275" s="28" t="s">
        <v>51</v>
      </c>
      <c r="L275" s="24" t="s">
        <v>868</v>
      </c>
      <c r="M275" s="1" t="str">
        <f>"11010319831218183X"</f>
        <v>11010319831218183X</v>
      </c>
      <c r="N275" s="24" t="s">
        <v>868</v>
      </c>
      <c r="O275" s="1" t="str">
        <f>"11010319831218183X"</f>
        <v>11010319831218183X</v>
      </c>
      <c r="P275" s="23" t="s">
        <v>869</v>
      </c>
      <c r="Q275" s="23">
        <v>45099</v>
      </c>
      <c r="R275" s="32">
        <v>45465</v>
      </c>
      <c r="V275" s="33">
        <v>300</v>
      </c>
      <c r="W275" s="28">
        <v>64.29</v>
      </c>
      <c r="X275" s="34" t="s">
        <v>54</v>
      </c>
      <c r="Y275" s="33">
        <v>192.87</v>
      </c>
      <c r="AC275" s="28">
        <v>64.29</v>
      </c>
      <c r="AD275" s="34" t="s">
        <v>54</v>
      </c>
      <c r="AE275" s="33">
        <v>192.87</v>
      </c>
      <c r="AN275" s="7" t="s">
        <v>54</v>
      </c>
      <c r="AO275" s="7" t="s">
        <v>55</v>
      </c>
      <c r="AP275" s="7" t="s">
        <v>56</v>
      </c>
      <c r="AT275" s="47" t="s">
        <v>57</v>
      </c>
      <c r="AU275" s="47" t="s">
        <v>57</v>
      </c>
    </row>
    <row r="276" spans="1:47">
      <c r="A276" s="4" t="s">
        <v>48</v>
      </c>
      <c r="C276" s="21"/>
      <c r="D276" s="22" t="s">
        <v>49</v>
      </c>
      <c r="G276" s="23">
        <v>45098</v>
      </c>
      <c r="H276" s="24" t="s">
        <v>870</v>
      </c>
      <c r="J276" s="28" t="s">
        <v>51</v>
      </c>
      <c r="L276" s="24" t="s">
        <v>871</v>
      </c>
      <c r="M276" s="1" t="str">
        <f>"342128196210081048"</f>
        <v>342128196210081048</v>
      </c>
      <c r="N276" s="24" t="s">
        <v>871</v>
      </c>
      <c r="O276" s="1" t="str">
        <f>"342128196210081048"</f>
        <v>342128196210081048</v>
      </c>
      <c r="P276" s="23" t="s">
        <v>872</v>
      </c>
      <c r="Q276" s="23">
        <v>45099</v>
      </c>
      <c r="R276" s="32">
        <v>45465</v>
      </c>
      <c r="V276" s="33">
        <v>300</v>
      </c>
      <c r="W276" s="28">
        <v>64.29</v>
      </c>
      <c r="X276" s="34" t="s">
        <v>54</v>
      </c>
      <c r="Y276" s="33">
        <v>192.87</v>
      </c>
      <c r="AC276" s="28">
        <v>64.29</v>
      </c>
      <c r="AD276" s="34" t="s">
        <v>54</v>
      </c>
      <c r="AE276" s="33">
        <v>192.87</v>
      </c>
      <c r="AN276" s="7" t="s">
        <v>54</v>
      </c>
      <c r="AO276" s="7" t="s">
        <v>55</v>
      </c>
      <c r="AP276" s="7" t="s">
        <v>56</v>
      </c>
      <c r="AT276" s="47" t="s">
        <v>57</v>
      </c>
      <c r="AU276" s="47" t="s">
        <v>57</v>
      </c>
    </row>
    <row r="277" spans="1:47">
      <c r="A277" s="4" t="s">
        <v>48</v>
      </c>
      <c r="C277" s="21"/>
      <c r="D277" s="22" t="s">
        <v>49</v>
      </c>
      <c r="G277" s="23">
        <v>45098</v>
      </c>
      <c r="H277" s="24" t="s">
        <v>873</v>
      </c>
      <c r="J277" s="28" t="s">
        <v>51</v>
      </c>
      <c r="L277" s="24" t="s">
        <v>874</v>
      </c>
      <c r="M277" s="1" t="str">
        <f>"11010519800905614X"</f>
        <v>11010519800905614X</v>
      </c>
      <c r="N277" s="24" t="s">
        <v>874</v>
      </c>
      <c r="O277" s="1" t="str">
        <f>"11010519800905614X"</f>
        <v>11010519800905614X</v>
      </c>
      <c r="P277" s="23" t="s">
        <v>875</v>
      </c>
      <c r="Q277" s="23">
        <v>45099</v>
      </c>
      <c r="R277" s="32">
        <v>45465</v>
      </c>
      <c r="V277" s="33">
        <v>300</v>
      </c>
      <c r="W277" s="28">
        <v>64.29</v>
      </c>
      <c r="X277" s="34" t="s">
        <v>54</v>
      </c>
      <c r="Y277" s="33">
        <v>192.87</v>
      </c>
      <c r="AC277" s="28">
        <v>64.29</v>
      </c>
      <c r="AD277" s="34" t="s">
        <v>54</v>
      </c>
      <c r="AE277" s="33">
        <v>192.87</v>
      </c>
      <c r="AN277" s="7" t="s">
        <v>54</v>
      </c>
      <c r="AO277" s="7" t="s">
        <v>55</v>
      </c>
      <c r="AP277" s="7" t="s">
        <v>56</v>
      </c>
      <c r="AT277" s="47" t="s">
        <v>57</v>
      </c>
      <c r="AU277" s="47" t="s">
        <v>57</v>
      </c>
    </row>
    <row r="278" spans="1:47">
      <c r="A278" s="4" t="s">
        <v>48</v>
      </c>
      <c r="C278" s="21"/>
      <c r="D278" s="22" t="s">
        <v>49</v>
      </c>
      <c r="G278" s="23">
        <v>45092</v>
      </c>
      <c r="H278" s="24" t="s">
        <v>876</v>
      </c>
      <c r="J278" s="28" t="s">
        <v>51</v>
      </c>
      <c r="L278" s="24" t="s">
        <v>877</v>
      </c>
      <c r="M278" s="1" t="str">
        <f>"131082198404290448"</f>
        <v>131082198404290448</v>
      </c>
      <c r="N278" s="24" t="s">
        <v>877</v>
      </c>
      <c r="O278" s="1" t="str">
        <f>"131082198404290448"</f>
        <v>131082198404290448</v>
      </c>
      <c r="P278" s="23" t="s">
        <v>878</v>
      </c>
      <c r="Q278" s="23">
        <v>45093</v>
      </c>
      <c r="R278" s="32">
        <v>45459</v>
      </c>
      <c r="V278" s="33">
        <v>300</v>
      </c>
      <c r="W278" s="28">
        <v>64.29</v>
      </c>
      <c r="X278" s="34" t="s">
        <v>54</v>
      </c>
      <c r="Y278" s="33">
        <v>192.87</v>
      </c>
      <c r="AC278" s="28">
        <v>64.29</v>
      </c>
      <c r="AD278" s="34" t="s">
        <v>54</v>
      </c>
      <c r="AE278" s="33">
        <v>192.87</v>
      </c>
      <c r="AN278" s="7" t="s">
        <v>54</v>
      </c>
      <c r="AO278" s="7" t="s">
        <v>55</v>
      </c>
      <c r="AP278" s="7" t="s">
        <v>56</v>
      </c>
      <c r="AT278" s="47" t="s">
        <v>57</v>
      </c>
      <c r="AU278" s="47" t="s">
        <v>57</v>
      </c>
    </row>
    <row r="279" spans="1:47">
      <c r="A279" s="4" t="s">
        <v>48</v>
      </c>
      <c r="C279" s="21"/>
      <c r="D279" s="22" t="s">
        <v>49</v>
      </c>
      <c r="G279" s="23">
        <v>45096</v>
      </c>
      <c r="H279" s="24" t="s">
        <v>879</v>
      </c>
      <c r="J279" s="28" t="s">
        <v>51</v>
      </c>
      <c r="L279" s="24" t="s">
        <v>880</v>
      </c>
      <c r="M279" s="1" t="str">
        <f>"130424199003161022"</f>
        <v>130424199003161022</v>
      </c>
      <c r="N279" s="24" t="s">
        <v>880</v>
      </c>
      <c r="O279" s="1" t="str">
        <f>"130424199003161022"</f>
        <v>130424199003161022</v>
      </c>
      <c r="P279" s="23" t="s">
        <v>881</v>
      </c>
      <c r="Q279" s="23">
        <v>45097</v>
      </c>
      <c r="R279" s="32">
        <v>45463</v>
      </c>
      <c r="V279" s="33">
        <v>50</v>
      </c>
      <c r="W279" s="28">
        <v>64.29</v>
      </c>
      <c r="X279" s="34" t="s">
        <v>54</v>
      </c>
      <c r="Y279" s="33">
        <v>32.15</v>
      </c>
      <c r="AC279" s="28">
        <v>64.29</v>
      </c>
      <c r="AD279" s="34" t="s">
        <v>54</v>
      </c>
      <c r="AE279" s="33">
        <v>32.15</v>
      </c>
      <c r="AN279" s="7" t="s">
        <v>54</v>
      </c>
      <c r="AO279" s="7" t="s">
        <v>55</v>
      </c>
      <c r="AP279" s="7" t="s">
        <v>56</v>
      </c>
      <c r="AT279" s="47" t="s">
        <v>57</v>
      </c>
      <c r="AU279" s="47" t="s">
        <v>57</v>
      </c>
    </row>
    <row r="280" spans="1:47">
      <c r="A280" s="4" t="s">
        <v>48</v>
      </c>
      <c r="C280" s="21"/>
      <c r="D280" s="22" t="s">
        <v>49</v>
      </c>
      <c r="G280" s="23">
        <v>45097</v>
      </c>
      <c r="H280" s="24" t="s">
        <v>882</v>
      </c>
      <c r="J280" s="28" t="s">
        <v>51</v>
      </c>
      <c r="L280" s="24" t="s">
        <v>883</v>
      </c>
      <c r="M280" s="1" t="str">
        <f>"110105195801077733"</f>
        <v>110105195801077733</v>
      </c>
      <c r="N280" s="24" t="s">
        <v>883</v>
      </c>
      <c r="O280" s="1" t="str">
        <f>"110105195801077733"</f>
        <v>110105195801077733</v>
      </c>
      <c r="P280" s="23" t="s">
        <v>884</v>
      </c>
      <c r="Q280" s="23">
        <v>45098</v>
      </c>
      <c r="R280" s="32">
        <v>45464</v>
      </c>
      <c r="V280" s="33">
        <v>50</v>
      </c>
      <c r="W280" s="28">
        <v>64.29</v>
      </c>
      <c r="X280" s="34" t="s">
        <v>54</v>
      </c>
      <c r="Y280" s="33">
        <v>32.15</v>
      </c>
      <c r="AC280" s="28">
        <v>64.29</v>
      </c>
      <c r="AD280" s="34" t="s">
        <v>54</v>
      </c>
      <c r="AE280" s="33">
        <v>32.15</v>
      </c>
      <c r="AN280" s="7" t="s">
        <v>54</v>
      </c>
      <c r="AO280" s="7" t="s">
        <v>55</v>
      </c>
      <c r="AP280" s="7" t="s">
        <v>56</v>
      </c>
      <c r="AT280" s="47" t="s">
        <v>57</v>
      </c>
      <c r="AU280" s="47" t="s">
        <v>57</v>
      </c>
    </row>
    <row r="281" spans="1:47">
      <c r="A281" s="4" t="s">
        <v>48</v>
      </c>
      <c r="C281" s="21"/>
      <c r="D281" s="22" t="s">
        <v>49</v>
      </c>
      <c r="G281" s="23">
        <v>45095</v>
      </c>
      <c r="H281" s="24" t="s">
        <v>885</v>
      </c>
      <c r="J281" s="28" t="s">
        <v>51</v>
      </c>
      <c r="L281" s="24" t="s">
        <v>886</v>
      </c>
      <c r="M281" s="1" t="str">
        <f>"131082196902045585"</f>
        <v>131082196902045585</v>
      </c>
      <c r="N281" s="24" t="s">
        <v>886</v>
      </c>
      <c r="O281" s="1" t="str">
        <f>"131082196902045585"</f>
        <v>131082196902045585</v>
      </c>
      <c r="P281" s="23" t="s">
        <v>887</v>
      </c>
      <c r="Q281" s="23">
        <v>45096</v>
      </c>
      <c r="R281" s="32">
        <v>45462</v>
      </c>
      <c r="V281" s="33">
        <v>50</v>
      </c>
      <c r="W281" s="28">
        <v>64.29</v>
      </c>
      <c r="X281" s="34" t="s">
        <v>54</v>
      </c>
      <c r="Y281" s="33">
        <v>32.15</v>
      </c>
      <c r="AC281" s="28">
        <v>64.29</v>
      </c>
      <c r="AD281" s="34" t="s">
        <v>54</v>
      </c>
      <c r="AE281" s="33">
        <v>32.15</v>
      </c>
      <c r="AN281" s="7" t="s">
        <v>54</v>
      </c>
      <c r="AO281" s="7" t="s">
        <v>55</v>
      </c>
      <c r="AP281" s="7" t="s">
        <v>56</v>
      </c>
      <c r="AT281" s="47" t="s">
        <v>57</v>
      </c>
      <c r="AU281" s="47" t="s">
        <v>57</v>
      </c>
    </row>
    <row r="282" spans="1:47">
      <c r="A282" s="4" t="s">
        <v>48</v>
      </c>
      <c r="C282" s="21"/>
      <c r="D282" s="22" t="s">
        <v>49</v>
      </c>
      <c r="G282" s="23">
        <v>45095</v>
      </c>
      <c r="H282" s="24" t="s">
        <v>888</v>
      </c>
      <c r="J282" s="28" t="s">
        <v>51</v>
      </c>
      <c r="L282" s="24" t="s">
        <v>889</v>
      </c>
      <c r="M282" s="1" t="str">
        <f>"34120219790501332X"</f>
        <v>34120219790501332X</v>
      </c>
      <c r="N282" s="24" t="s">
        <v>889</v>
      </c>
      <c r="O282" s="1" t="str">
        <f>"34120219790501332X"</f>
        <v>34120219790501332X</v>
      </c>
      <c r="P282" s="23" t="s">
        <v>890</v>
      </c>
      <c r="Q282" s="23">
        <v>45096</v>
      </c>
      <c r="R282" s="32">
        <v>45462</v>
      </c>
      <c r="V282" s="33">
        <v>50</v>
      </c>
      <c r="W282" s="28">
        <v>64.29</v>
      </c>
      <c r="X282" s="34" t="s">
        <v>54</v>
      </c>
      <c r="Y282" s="33">
        <v>32.15</v>
      </c>
      <c r="AC282" s="28">
        <v>64.29</v>
      </c>
      <c r="AD282" s="34" t="s">
        <v>54</v>
      </c>
      <c r="AE282" s="33">
        <v>32.15</v>
      </c>
      <c r="AN282" s="7" t="s">
        <v>54</v>
      </c>
      <c r="AO282" s="7" t="s">
        <v>55</v>
      </c>
      <c r="AP282" s="7" t="s">
        <v>56</v>
      </c>
      <c r="AT282" s="47" t="s">
        <v>57</v>
      </c>
      <c r="AU282" s="47" t="s">
        <v>57</v>
      </c>
    </row>
    <row r="283" spans="1:47">
      <c r="A283" s="4" t="s">
        <v>48</v>
      </c>
      <c r="C283" s="21"/>
      <c r="D283" s="22" t="s">
        <v>49</v>
      </c>
      <c r="G283" s="23">
        <v>45101</v>
      </c>
      <c r="H283" s="24" t="s">
        <v>891</v>
      </c>
      <c r="J283" s="28" t="s">
        <v>51</v>
      </c>
      <c r="L283" s="24" t="s">
        <v>892</v>
      </c>
      <c r="M283" s="1" t="str">
        <f>"342101197304124218"</f>
        <v>342101197304124218</v>
      </c>
      <c r="N283" s="24" t="s">
        <v>892</v>
      </c>
      <c r="O283" s="1" t="str">
        <f>"342101197304124218"</f>
        <v>342101197304124218</v>
      </c>
      <c r="P283" s="23" t="s">
        <v>893</v>
      </c>
      <c r="Q283" s="23">
        <v>45102</v>
      </c>
      <c r="R283" s="32">
        <v>45468</v>
      </c>
      <c r="V283" s="33">
        <v>100</v>
      </c>
      <c r="W283" s="28">
        <v>64.29</v>
      </c>
      <c r="X283" s="34" t="s">
        <v>54</v>
      </c>
      <c r="Y283" s="33">
        <v>64.29</v>
      </c>
      <c r="AC283" s="28">
        <v>64.29</v>
      </c>
      <c r="AD283" s="34" t="s">
        <v>54</v>
      </c>
      <c r="AE283" s="33">
        <v>64.29</v>
      </c>
      <c r="AN283" s="7" t="s">
        <v>54</v>
      </c>
      <c r="AO283" s="7" t="s">
        <v>55</v>
      </c>
      <c r="AP283" s="7" t="s">
        <v>56</v>
      </c>
      <c r="AT283" s="47" t="s">
        <v>57</v>
      </c>
      <c r="AU283" s="47" t="s">
        <v>57</v>
      </c>
    </row>
    <row r="284" spans="1:47">
      <c r="A284" s="4" t="s">
        <v>48</v>
      </c>
      <c r="C284" s="21"/>
      <c r="D284" s="22" t="s">
        <v>49</v>
      </c>
      <c r="G284" s="23">
        <v>45102</v>
      </c>
      <c r="H284" s="24" t="s">
        <v>894</v>
      </c>
      <c r="J284" s="28" t="s">
        <v>51</v>
      </c>
      <c r="L284" s="24" t="s">
        <v>895</v>
      </c>
      <c r="M284" s="1" t="str">
        <f>"341204195304140810"</f>
        <v>341204195304140810</v>
      </c>
      <c r="N284" s="24" t="s">
        <v>895</v>
      </c>
      <c r="O284" s="1" t="str">
        <f>"341204195304140810"</f>
        <v>341204195304140810</v>
      </c>
      <c r="P284" s="23" t="s">
        <v>896</v>
      </c>
      <c r="Q284" s="23">
        <v>45103</v>
      </c>
      <c r="R284" s="32">
        <v>45469</v>
      </c>
      <c r="V284" s="33">
        <v>100</v>
      </c>
      <c r="W284" s="28">
        <v>64.29</v>
      </c>
      <c r="X284" s="34" t="s">
        <v>54</v>
      </c>
      <c r="Y284" s="33">
        <v>64.29</v>
      </c>
      <c r="AC284" s="28">
        <v>64.29</v>
      </c>
      <c r="AD284" s="34" t="s">
        <v>54</v>
      </c>
      <c r="AE284" s="33">
        <v>64.29</v>
      </c>
      <c r="AN284" s="7" t="s">
        <v>54</v>
      </c>
      <c r="AO284" s="7" t="s">
        <v>55</v>
      </c>
      <c r="AP284" s="7" t="s">
        <v>56</v>
      </c>
      <c r="AT284" s="47" t="s">
        <v>57</v>
      </c>
      <c r="AU284" s="47" t="s">
        <v>57</v>
      </c>
    </row>
    <row r="285" spans="1:47">
      <c r="A285" s="4" t="s">
        <v>48</v>
      </c>
      <c r="C285" s="21"/>
      <c r="D285" s="22" t="s">
        <v>49</v>
      </c>
      <c r="G285" s="23">
        <v>45102</v>
      </c>
      <c r="H285" s="24" t="s">
        <v>897</v>
      </c>
      <c r="J285" s="28" t="s">
        <v>51</v>
      </c>
      <c r="L285" s="24" t="s">
        <v>898</v>
      </c>
      <c r="M285" s="1" t="str">
        <f>"341225199511240419"</f>
        <v>341225199511240419</v>
      </c>
      <c r="N285" s="24" t="s">
        <v>898</v>
      </c>
      <c r="O285" s="1" t="str">
        <f>"341225199511240419"</f>
        <v>341225199511240419</v>
      </c>
      <c r="P285" s="23" t="s">
        <v>899</v>
      </c>
      <c r="Q285" s="23">
        <v>45261</v>
      </c>
      <c r="R285" s="32">
        <v>45627</v>
      </c>
      <c r="V285" s="33">
        <v>100</v>
      </c>
      <c r="W285" s="28">
        <v>64.29</v>
      </c>
      <c r="X285" s="34" t="s">
        <v>54</v>
      </c>
      <c r="Y285" s="33">
        <v>64.29</v>
      </c>
      <c r="AC285" s="28">
        <v>64.29</v>
      </c>
      <c r="AD285" s="34" t="s">
        <v>54</v>
      </c>
      <c r="AE285" s="33">
        <v>64.29</v>
      </c>
      <c r="AN285" s="7" t="s">
        <v>54</v>
      </c>
      <c r="AO285" s="7" t="s">
        <v>55</v>
      </c>
      <c r="AP285" s="7" t="s">
        <v>56</v>
      </c>
      <c r="AT285" s="47" t="s">
        <v>57</v>
      </c>
      <c r="AU285" s="47" t="s">
        <v>57</v>
      </c>
    </row>
    <row r="286" spans="1:47">
      <c r="A286" s="4" t="s">
        <v>48</v>
      </c>
      <c r="C286" s="21"/>
      <c r="D286" s="22" t="s">
        <v>49</v>
      </c>
      <c r="G286" s="23">
        <v>45101</v>
      </c>
      <c r="H286" s="24" t="s">
        <v>900</v>
      </c>
      <c r="J286" s="28" t="s">
        <v>51</v>
      </c>
      <c r="L286" s="24" t="s">
        <v>901</v>
      </c>
      <c r="M286" s="1" t="str">
        <f>"341204197004050943"</f>
        <v>341204197004050943</v>
      </c>
      <c r="N286" s="24" t="s">
        <v>901</v>
      </c>
      <c r="O286" s="1" t="str">
        <f>"341204197004050943"</f>
        <v>341204197004050943</v>
      </c>
      <c r="P286" s="23" t="s">
        <v>902</v>
      </c>
      <c r="Q286" s="23">
        <v>45102</v>
      </c>
      <c r="R286" s="32">
        <v>45468</v>
      </c>
      <c r="V286" s="33">
        <v>100</v>
      </c>
      <c r="W286" s="28">
        <v>64.29</v>
      </c>
      <c r="X286" s="34" t="s">
        <v>54</v>
      </c>
      <c r="Y286" s="33">
        <v>64.29</v>
      </c>
      <c r="AC286" s="28">
        <v>64.29</v>
      </c>
      <c r="AD286" s="34" t="s">
        <v>54</v>
      </c>
      <c r="AE286" s="33">
        <v>64.29</v>
      </c>
      <c r="AN286" s="7" t="s">
        <v>54</v>
      </c>
      <c r="AO286" s="7" t="s">
        <v>55</v>
      </c>
      <c r="AP286" s="7" t="s">
        <v>56</v>
      </c>
      <c r="AT286" s="47" t="s">
        <v>57</v>
      </c>
      <c r="AU286" s="47" t="s">
        <v>57</v>
      </c>
    </row>
    <row r="287" spans="1:47">
      <c r="A287" s="4" t="s">
        <v>48</v>
      </c>
      <c r="C287" s="21"/>
      <c r="D287" s="22" t="s">
        <v>49</v>
      </c>
      <c r="G287" s="23">
        <v>45098</v>
      </c>
      <c r="H287" s="24" t="s">
        <v>903</v>
      </c>
      <c r="J287" s="28" t="s">
        <v>51</v>
      </c>
      <c r="L287" s="24" t="s">
        <v>904</v>
      </c>
      <c r="M287" s="1" t="str">
        <f>"132821194803260274"</f>
        <v>132821194803260274</v>
      </c>
      <c r="N287" s="24" t="s">
        <v>904</v>
      </c>
      <c r="O287" s="1" t="str">
        <f>"132821194803260274"</f>
        <v>132821194803260274</v>
      </c>
      <c r="P287" s="23" t="s">
        <v>905</v>
      </c>
      <c r="Q287" s="23">
        <v>45099</v>
      </c>
      <c r="R287" s="32">
        <v>45465</v>
      </c>
      <c r="V287" s="33">
        <v>100</v>
      </c>
      <c r="W287" s="28">
        <v>64.29</v>
      </c>
      <c r="X287" s="34" t="s">
        <v>54</v>
      </c>
      <c r="Y287" s="33">
        <v>64.29</v>
      </c>
      <c r="AC287" s="28">
        <v>64.29</v>
      </c>
      <c r="AD287" s="34" t="s">
        <v>54</v>
      </c>
      <c r="AE287" s="33">
        <v>64.29</v>
      </c>
      <c r="AN287" s="7" t="s">
        <v>54</v>
      </c>
      <c r="AO287" s="7" t="s">
        <v>55</v>
      </c>
      <c r="AP287" s="7" t="s">
        <v>56</v>
      </c>
      <c r="AT287" s="47" t="s">
        <v>57</v>
      </c>
      <c r="AU287" s="47" t="s">
        <v>57</v>
      </c>
    </row>
    <row r="288" spans="1:47">
      <c r="A288" s="4" t="s">
        <v>48</v>
      </c>
      <c r="C288" s="21"/>
      <c r="D288" s="22" t="s">
        <v>49</v>
      </c>
      <c r="G288" s="23">
        <v>45102</v>
      </c>
      <c r="H288" s="24" t="s">
        <v>906</v>
      </c>
      <c r="J288" s="28" t="s">
        <v>51</v>
      </c>
      <c r="L288" s="24" t="s">
        <v>907</v>
      </c>
      <c r="M288" s="1" t="str">
        <f>"341204196202251012"</f>
        <v>341204196202251012</v>
      </c>
      <c r="N288" s="24" t="s">
        <v>907</v>
      </c>
      <c r="O288" s="1" t="str">
        <f>"341204196202251012"</f>
        <v>341204196202251012</v>
      </c>
      <c r="P288" s="23" t="s">
        <v>908</v>
      </c>
      <c r="Q288" s="23">
        <v>45103</v>
      </c>
      <c r="R288" s="32">
        <v>45469</v>
      </c>
      <c r="V288" s="33">
        <v>100</v>
      </c>
      <c r="W288" s="28">
        <v>64.29</v>
      </c>
      <c r="X288" s="34" t="s">
        <v>54</v>
      </c>
      <c r="Y288" s="33">
        <v>64.29</v>
      </c>
      <c r="AC288" s="28">
        <v>64.29</v>
      </c>
      <c r="AD288" s="34" t="s">
        <v>54</v>
      </c>
      <c r="AE288" s="33">
        <v>64.29</v>
      </c>
      <c r="AN288" s="7" t="s">
        <v>54</v>
      </c>
      <c r="AO288" s="7" t="s">
        <v>55</v>
      </c>
      <c r="AP288" s="7" t="s">
        <v>56</v>
      </c>
      <c r="AT288" s="47" t="s">
        <v>57</v>
      </c>
      <c r="AU288" s="47" t="s">
        <v>57</v>
      </c>
    </row>
    <row r="289" spans="1:47">
      <c r="A289" s="4" t="s">
        <v>48</v>
      </c>
      <c r="C289" s="21"/>
      <c r="D289" s="22" t="s">
        <v>49</v>
      </c>
      <c r="G289" s="23">
        <v>45102</v>
      </c>
      <c r="H289" s="24" t="s">
        <v>909</v>
      </c>
      <c r="J289" s="28" t="s">
        <v>51</v>
      </c>
      <c r="L289" s="24" t="s">
        <v>910</v>
      </c>
      <c r="M289" s="1" t="str">
        <f>"220524198603223373"</f>
        <v>220524198603223373</v>
      </c>
      <c r="N289" s="24" t="s">
        <v>910</v>
      </c>
      <c r="O289" s="1" t="str">
        <f>"220524198603223373"</f>
        <v>220524198603223373</v>
      </c>
      <c r="P289" s="23" t="s">
        <v>911</v>
      </c>
      <c r="Q289" s="23">
        <v>45103</v>
      </c>
      <c r="R289" s="32">
        <v>45469</v>
      </c>
      <c r="V289" s="33">
        <v>100</v>
      </c>
      <c r="W289" s="28">
        <v>64.29</v>
      </c>
      <c r="X289" s="34" t="s">
        <v>54</v>
      </c>
      <c r="Y289" s="33">
        <v>64.29</v>
      </c>
      <c r="AC289" s="28">
        <v>64.29</v>
      </c>
      <c r="AD289" s="34" t="s">
        <v>54</v>
      </c>
      <c r="AE289" s="33">
        <v>64.29</v>
      </c>
      <c r="AN289" s="7" t="s">
        <v>54</v>
      </c>
      <c r="AO289" s="7" t="s">
        <v>55</v>
      </c>
      <c r="AP289" s="7" t="s">
        <v>56</v>
      </c>
      <c r="AT289" s="47" t="s">
        <v>57</v>
      </c>
      <c r="AU289" s="47" t="s">
        <v>57</v>
      </c>
    </row>
    <row r="290" spans="1:47">
      <c r="A290" s="4" t="s">
        <v>48</v>
      </c>
      <c r="C290" s="21"/>
      <c r="D290" s="22" t="s">
        <v>49</v>
      </c>
      <c r="G290" s="23">
        <v>45089</v>
      </c>
      <c r="H290" s="24" t="s">
        <v>912</v>
      </c>
      <c r="J290" s="28" t="s">
        <v>51</v>
      </c>
      <c r="L290" s="24" t="s">
        <v>913</v>
      </c>
      <c r="M290" s="1" t="str">
        <f>"130731198905194013"</f>
        <v>130731198905194013</v>
      </c>
      <c r="N290" s="24" t="s">
        <v>913</v>
      </c>
      <c r="O290" s="1" t="str">
        <f>"130731198905194013"</f>
        <v>130731198905194013</v>
      </c>
      <c r="P290" s="23" t="s">
        <v>914</v>
      </c>
      <c r="Q290" s="23">
        <v>45090</v>
      </c>
      <c r="R290" s="32">
        <v>45456</v>
      </c>
      <c r="V290" s="33">
        <v>100</v>
      </c>
      <c r="W290" s="28">
        <v>64.29</v>
      </c>
      <c r="X290" s="34" t="s">
        <v>54</v>
      </c>
      <c r="Y290" s="33">
        <v>64.29</v>
      </c>
      <c r="AC290" s="28">
        <v>64.29</v>
      </c>
      <c r="AD290" s="34" t="s">
        <v>54</v>
      </c>
      <c r="AE290" s="33">
        <v>64.29</v>
      </c>
      <c r="AN290" s="7" t="s">
        <v>54</v>
      </c>
      <c r="AO290" s="7" t="s">
        <v>55</v>
      </c>
      <c r="AP290" s="7" t="s">
        <v>56</v>
      </c>
      <c r="AT290" s="47" t="s">
        <v>57</v>
      </c>
      <c r="AU290" s="47" t="s">
        <v>57</v>
      </c>
    </row>
    <row r="291" spans="1:47">
      <c r="A291" s="4" t="s">
        <v>48</v>
      </c>
      <c r="C291" s="21"/>
      <c r="D291" s="22" t="s">
        <v>49</v>
      </c>
      <c r="G291" s="23">
        <v>45090</v>
      </c>
      <c r="H291" s="24" t="s">
        <v>915</v>
      </c>
      <c r="J291" s="28" t="s">
        <v>51</v>
      </c>
      <c r="L291" s="24" t="s">
        <v>916</v>
      </c>
      <c r="M291" s="1" t="str">
        <f>"132821195604170270"</f>
        <v>132821195604170270</v>
      </c>
      <c r="N291" s="24" t="s">
        <v>916</v>
      </c>
      <c r="O291" s="1" t="str">
        <f>"132821195604170270"</f>
        <v>132821195604170270</v>
      </c>
      <c r="P291" s="23" t="s">
        <v>917</v>
      </c>
      <c r="Q291" s="23">
        <v>45200</v>
      </c>
      <c r="R291" s="32">
        <v>45566</v>
      </c>
      <c r="V291" s="33">
        <v>100</v>
      </c>
      <c r="W291" s="28">
        <v>64.29</v>
      </c>
      <c r="X291" s="34" t="s">
        <v>54</v>
      </c>
      <c r="Y291" s="33">
        <v>64.29</v>
      </c>
      <c r="AC291" s="28">
        <v>64.29</v>
      </c>
      <c r="AD291" s="34" t="s">
        <v>54</v>
      </c>
      <c r="AE291" s="33">
        <v>64.29</v>
      </c>
      <c r="AN291" s="7" t="s">
        <v>54</v>
      </c>
      <c r="AO291" s="7" t="s">
        <v>55</v>
      </c>
      <c r="AP291" s="7" t="s">
        <v>56</v>
      </c>
      <c r="AT291" s="47" t="s">
        <v>57</v>
      </c>
      <c r="AU291" s="47" t="s">
        <v>57</v>
      </c>
    </row>
    <row r="292" spans="1:47">
      <c r="A292" s="4" t="s">
        <v>48</v>
      </c>
      <c r="C292" s="21"/>
      <c r="D292" s="22" t="s">
        <v>49</v>
      </c>
      <c r="G292" s="23">
        <v>45090</v>
      </c>
      <c r="H292" s="24" t="s">
        <v>918</v>
      </c>
      <c r="J292" s="28" t="s">
        <v>51</v>
      </c>
      <c r="L292" s="24" t="s">
        <v>919</v>
      </c>
      <c r="M292" s="1" t="str">
        <f>"342101194705101013"</f>
        <v>342101194705101013</v>
      </c>
      <c r="N292" s="24" t="s">
        <v>919</v>
      </c>
      <c r="O292" s="1" t="str">
        <f>"342101194705101013"</f>
        <v>342101194705101013</v>
      </c>
      <c r="P292" s="23" t="s">
        <v>920</v>
      </c>
      <c r="Q292" s="23">
        <v>45091</v>
      </c>
      <c r="R292" s="32">
        <v>45457</v>
      </c>
      <c r="V292" s="33">
        <v>100</v>
      </c>
      <c r="W292" s="28">
        <v>64.29</v>
      </c>
      <c r="X292" s="34" t="s">
        <v>54</v>
      </c>
      <c r="Y292" s="33">
        <v>64.29</v>
      </c>
      <c r="AC292" s="28">
        <v>64.29</v>
      </c>
      <c r="AD292" s="34" t="s">
        <v>54</v>
      </c>
      <c r="AE292" s="33">
        <v>64.29</v>
      </c>
      <c r="AN292" s="7" t="s">
        <v>54</v>
      </c>
      <c r="AO292" s="7" t="s">
        <v>55</v>
      </c>
      <c r="AP292" s="7" t="s">
        <v>56</v>
      </c>
      <c r="AT292" s="47" t="s">
        <v>57</v>
      </c>
      <c r="AU292" s="47" t="s">
        <v>57</v>
      </c>
    </row>
    <row r="293" spans="1:47">
      <c r="A293" s="4" t="s">
        <v>48</v>
      </c>
      <c r="C293" s="21"/>
      <c r="D293" s="22" t="s">
        <v>49</v>
      </c>
      <c r="G293" s="23">
        <v>45089</v>
      </c>
      <c r="H293" s="24" t="s">
        <v>921</v>
      </c>
      <c r="J293" s="28" t="s">
        <v>51</v>
      </c>
      <c r="L293" s="24" t="s">
        <v>922</v>
      </c>
      <c r="M293" s="1" t="str">
        <f>"132821196911297620"</f>
        <v>132821196911297620</v>
      </c>
      <c r="N293" s="24" t="s">
        <v>922</v>
      </c>
      <c r="O293" s="1" t="str">
        <f>"132821196911297620"</f>
        <v>132821196911297620</v>
      </c>
      <c r="P293" s="23" t="s">
        <v>923</v>
      </c>
      <c r="Q293" s="23">
        <v>45200</v>
      </c>
      <c r="R293" s="32">
        <v>45566</v>
      </c>
      <c r="V293" s="33">
        <v>100</v>
      </c>
      <c r="W293" s="28">
        <v>64.29</v>
      </c>
      <c r="X293" s="34" t="s">
        <v>54</v>
      </c>
      <c r="Y293" s="33">
        <v>64.29</v>
      </c>
      <c r="AC293" s="28">
        <v>64.29</v>
      </c>
      <c r="AD293" s="34" t="s">
        <v>54</v>
      </c>
      <c r="AE293" s="33">
        <v>64.29</v>
      </c>
      <c r="AN293" s="7" t="s">
        <v>54</v>
      </c>
      <c r="AO293" s="7" t="s">
        <v>55</v>
      </c>
      <c r="AP293" s="7" t="s">
        <v>56</v>
      </c>
      <c r="AT293" s="47" t="s">
        <v>57</v>
      </c>
      <c r="AU293" s="47" t="s">
        <v>57</v>
      </c>
    </row>
    <row r="294" spans="1:47">
      <c r="A294" s="4" t="s">
        <v>48</v>
      </c>
      <c r="C294" s="21"/>
      <c r="D294" s="22" t="s">
        <v>49</v>
      </c>
      <c r="G294" s="23">
        <v>45090</v>
      </c>
      <c r="H294" s="24" t="s">
        <v>924</v>
      </c>
      <c r="J294" s="28" t="s">
        <v>51</v>
      </c>
      <c r="L294" s="24" t="s">
        <v>925</v>
      </c>
      <c r="M294" s="1" t="str">
        <f>"342101194705101013"</f>
        <v>342101194705101013</v>
      </c>
      <c r="N294" s="24" t="s">
        <v>925</v>
      </c>
      <c r="O294" s="1" t="str">
        <f>"342101194705101013"</f>
        <v>342101194705101013</v>
      </c>
      <c r="P294" s="23" t="s">
        <v>920</v>
      </c>
      <c r="Q294" s="23">
        <v>45301</v>
      </c>
      <c r="R294" s="32">
        <v>45667</v>
      </c>
      <c r="V294" s="33">
        <v>100</v>
      </c>
      <c r="W294" s="28">
        <v>64.29</v>
      </c>
      <c r="X294" s="34" t="s">
        <v>54</v>
      </c>
      <c r="Y294" s="33">
        <v>64.29</v>
      </c>
      <c r="AC294" s="28">
        <v>64.29</v>
      </c>
      <c r="AD294" s="34" t="s">
        <v>54</v>
      </c>
      <c r="AE294" s="33">
        <v>64.29</v>
      </c>
      <c r="AN294" s="7" t="s">
        <v>54</v>
      </c>
      <c r="AO294" s="7" t="s">
        <v>55</v>
      </c>
      <c r="AP294" s="7" t="s">
        <v>56</v>
      </c>
      <c r="AT294" s="47" t="s">
        <v>57</v>
      </c>
      <c r="AU294" s="47" t="s">
        <v>57</v>
      </c>
    </row>
    <row r="295" spans="1:47">
      <c r="A295" s="4" t="s">
        <v>48</v>
      </c>
      <c r="C295" s="21"/>
      <c r="D295" s="22" t="s">
        <v>49</v>
      </c>
      <c r="G295" s="23">
        <v>45090</v>
      </c>
      <c r="H295" s="24" t="s">
        <v>926</v>
      </c>
      <c r="J295" s="28" t="s">
        <v>51</v>
      </c>
      <c r="L295" s="24" t="s">
        <v>927</v>
      </c>
      <c r="M295" s="1" t="str">
        <f>"342622199802144092"</f>
        <v>342622199802144092</v>
      </c>
      <c r="N295" s="24" t="s">
        <v>927</v>
      </c>
      <c r="O295" s="1" t="str">
        <f>"342622199802144092"</f>
        <v>342622199802144092</v>
      </c>
      <c r="P295" s="23" t="s">
        <v>928</v>
      </c>
      <c r="Q295" s="23">
        <v>45091</v>
      </c>
      <c r="R295" s="32">
        <v>45457</v>
      </c>
      <c r="V295" s="33">
        <v>100</v>
      </c>
      <c r="W295" s="28">
        <v>64.29</v>
      </c>
      <c r="X295" s="34" t="s">
        <v>54</v>
      </c>
      <c r="Y295" s="33">
        <v>64.29</v>
      </c>
      <c r="AC295" s="28">
        <v>64.29</v>
      </c>
      <c r="AD295" s="34" t="s">
        <v>54</v>
      </c>
      <c r="AE295" s="33">
        <v>64.29</v>
      </c>
      <c r="AN295" s="7" t="s">
        <v>54</v>
      </c>
      <c r="AO295" s="7" t="s">
        <v>55</v>
      </c>
      <c r="AP295" s="7" t="s">
        <v>56</v>
      </c>
      <c r="AT295" s="47" t="s">
        <v>57</v>
      </c>
      <c r="AU295" s="47" t="s">
        <v>57</v>
      </c>
    </row>
    <row r="296" spans="1:47">
      <c r="A296" s="4" t="s">
        <v>48</v>
      </c>
      <c r="C296" s="21"/>
      <c r="D296" s="22" t="s">
        <v>49</v>
      </c>
      <c r="G296" s="23">
        <v>45078</v>
      </c>
      <c r="H296" s="24" t="s">
        <v>929</v>
      </c>
      <c r="J296" s="28" t="s">
        <v>51</v>
      </c>
      <c r="L296" s="24" t="s">
        <v>930</v>
      </c>
      <c r="M296" s="1" t="str">
        <f>"341204198702062276"</f>
        <v>341204198702062276</v>
      </c>
      <c r="N296" s="24" t="s">
        <v>930</v>
      </c>
      <c r="O296" s="1" t="str">
        <f>"341204198702062276"</f>
        <v>341204198702062276</v>
      </c>
      <c r="P296" s="23" t="s">
        <v>931</v>
      </c>
      <c r="Q296" s="23">
        <v>45230</v>
      </c>
      <c r="R296" s="32">
        <v>45596</v>
      </c>
      <c r="V296" s="33">
        <v>100</v>
      </c>
      <c r="W296" s="28">
        <v>64.29</v>
      </c>
      <c r="X296" s="34" t="s">
        <v>54</v>
      </c>
      <c r="Y296" s="33">
        <v>64.29</v>
      </c>
      <c r="AC296" s="28">
        <v>64.29</v>
      </c>
      <c r="AD296" s="34" t="s">
        <v>54</v>
      </c>
      <c r="AE296" s="33">
        <v>64.29</v>
      </c>
      <c r="AN296" s="7" t="s">
        <v>54</v>
      </c>
      <c r="AO296" s="7" t="s">
        <v>55</v>
      </c>
      <c r="AP296" s="7" t="s">
        <v>56</v>
      </c>
      <c r="AT296" s="47" t="s">
        <v>57</v>
      </c>
      <c r="AU296" s="47" t="s">
        <v>57</v>
      </c>
    </row>
    <row r="297" spans="1:47">
      <c r="A297" s="4" t="s">
        <v>48</v>
      </c>
      <c r="C297" s="21"/>
      <c r="D297" s="22" t="s">
        <v>49</v>
      </c>
      <c r="G297" s="23">
        <v>45079</v>
      </c>
      <c r="H297" s="24" t="s">
        <v>932</v>
      </c>
      <c r="J297" s="28" t="s">
        <v>51</v>
      </c>
      <c r="L297" s="24" t="s">
        <v>933</v>
      </c>
      <c r="M297" s="1" t="str">
        <f>"132821195105150275"</f>
        <v>132821195105150275</v>
      </c>
      <c r="N297" s="24" t="s">
        <v>933</v>
      </c>
      <c r="O297" s="1" t="str">
        <f>"132821195105150275"</f>
        <v>132821195105150275</v>
      </c>
      <c r="P297" s="23" t="s">
        <v>934</v>
      </c>
      <c r="Q297" s="23">
        <v>45080</v>
      </c>
      <c r="R297" s="32">
        <v>45446</v>
      </c>
      <c r="V297" s="33">
        <v>100</v>
      </c>
      <c r="W297" s="28">
        <v>64.29</v>
      </c>
      <c r="X297" s="34" t="s">
        <v>54</v>
      </c>
      <c r="Y297" s="33">
        <v>64.29</v>
      </c>
      <c r="AC297" s="28">
        <v>64.29</v>
      </c>
      <c r="AD297" s="34" t="s">
        <v>54</v>
      </c>
      <c r="AE297" s="33">
        <v>64.29</v>
      </c>
      <c r="AN297" s="7" t="s">
        <v>54</v>
      </c>
      <c r="AO297" s="7" t="s">
        <v>55</v>
      </c>
      <c r="AP297" s="7" t="s">
        <v>56</v>
      </c>
      <c r="AT297" s="47" t="s">
        <v>57</v>
      </c>
      <c r="AU297" s="47" t="s">
        <v>57</v>
      </c>
    </row>
    <row r="298" spans="1:47">
      <c r="A298" s="4" t="s">
        <v>48</v>
      </c>
      <c r="C298" s="21"/>
      <c r="D298" s="22" t="s">
        <v>49</v>
      </c>
      <c r="G298" s="23">
        <v>45077</v>
      </c>
      <c r="H298" s="24" t="s">
        <v>935</v>
      </c>
      <c r="J298" s="28" t="s">
        <v>51</v>
      </c>
      <c r="L298" s="24" t="s">
        <v>936</v>
      </c>
      <c r="M298" s="1" t="str">
        <f>"342101196801261024"</f>
        <v>342101196801261024</v>
      </c>
      <c r="N298" s="24" t="s">
        <v>936</v>
      </c>
      <c r="O298" s="1" t="str">
        <f>"342101196801261024"</f>
        <v>342101196801261024</v>
      </c>
      <c r="P298" s="23" t="s">
        <v>937</v>
      </c>
      <c r="Q298" s="23">
        <v>45078</v>
      </c>
      <c r="R298" s="32">
        <v>45444</v>
      </c>
      <c r="V298" s="33">
        <v>100</v>
      </c>
      <c r="W298" s="28">
        <v>64.29</v>
      </c>
      <c r="X298" s="34" t="s">
        <v>54</v>
      </c>
      <c r="Y298" s="33">
        <v>64.29</v>
      </c>
      <c r="AC298" s="28">
        <v>64.29</v>
      </c>
      <c r="AD298" s="34" t="s">
        <v>54</v>
      </c>
      <c r="AE298" s="33">
        <v>64.29</v>
      </c>
      <c r="AN298" s="7" t="s">
        <v>54</v>
      </c>
      <c r="AO298" s="7" t="s">
        <v>55</v>
      </c>
      <c r="AP298" s="7" t="s">
        <v>56</v>
      </c>
      <c r="AT298" s="47" t="s">
        <v>57</v>
      </c>
      <c r="AU298" s="47" t="s">
        <v>57</v>
      </c>
    </row>
    <row r="299" spans="1:47">
      <c r="A299" s="4" t="s">
        <v>48</v>
      </c>
      <c r="C299" s="21"/>
      <c r="D299" s="22" t="s">
        <v>49</v>
      </c>
      <c r="G299" s="23">
        <v>45077</v>
      </c>
      <c r="H299" s="24" t="s">
        <v>938</v>
      </c>
      <c r="J299" s="28" t="s">
        <v>51</v>
      </c>
      <c r="L299" s="24" t="s">
        <v>939</v>
      </c>
      <c r="M299" s="1" t="str">
        <f>"342101195805200814"</f>
        <v>342101195805200814</v>
      </c>
      <c r="N299" s="24" t="s">
        <v>939</v>
      </c>
      <c r="O299" s="1" t="str">
        <f>"342101195805200814"</f>
        <v>342101195805200814</v>
      </c>
      <c r="P299" s="23" t="s">
        <v>940</v>
      </c>
      <c r="Q299" s="23">
        <v>45139</v>
      </c>
      <c r="R299" s="32">
        <v>45505</v>
      </c>
      <c r="V299" s="33">
        <v>100</v>
      </c>
      <c r="W299" s="28">
        <v>64.29</v>
      </c>
      <c r="X299" s="34" t="s">
        <v>54</v>
      </c>
      <c r="Y299" s="33">
        <v>64.29</v>
      </c>
      <c r="AC299" s="28">
        <v>64.29</v>
      </c>
      <c r="AD299" s="34" t="s">
        <v>54</v>
      </c>
      <c r="AE299" s="33">
        <v>64.29</v>
      </c>
      <c r="AN299" s="7" t="s">
        <v>54</v>
      </c>
      <c r="AO299" s="7" t="s">
        <v>55</v>
      </c>
      <c r="AP299" s="7" t="s">
        <v>56</v>
      </c>
      <c r="AT299" s="47" t="s">
        <v>57</v>
      </c>
      <c r="AU299" s="47" t="s">
        <v>57</v>
      </c>
    </row>
    <row r="300" spans="1:47">
      <c r="A300" s="4" t="s">
        <v>48</v>
      </c>
      <c r="C300" s="21"/>
      <c r="D300" s="22" t="s">
        <v>49</v>
      </c>
      <c r="G300" s="23">
        <v>45091</v>
      </c>
      <c r="H300" s="24" t="s">
        <v>941</v>
      </c>
      <c r="J300" s="28" t="s">
        <v>51</v>
      </c>
      <c r="L300" s="24" t="s">
        <v>942</v>
      </c>
      <c r="M300" s="1" t="str">
        <f>"132530197201195210"</f>
        <v>132530197201195210</v>
      </c>
      <c r="N300" s="24" t="s">
        <v>942</v>
      </c>
      <c r="O300" s="1" t="str">
        <f>"132530197201195210"</f>
        <v>132530197201195210</v>
      </c>
      <c r="P300" s="23" t="s">
        <v>943</v>
      </c>
      <c r="Q300" s="23">
        <v>45092</v>
      </c>
      <c r="R300" s="32">
        <v>45458</v>
      </c>
      <c r="V300" s="33">
        <v>300</v>
      </c>
      <c r="W300" s="28">
        <v>64.29</v>
      </c>
      <c r="X300" s="34" t="s">
        <v>54</v>
      </c>
      <c r="Y300" s="33">
        <v>192.87</v>
      </c>
      <c r="AC300" s="28">
        <v>64.29</v>
      </c>
      <c r="AD300" s="34" t="s">
        <v>54</v>
      </c>
      <c r="AE300" s="33">
        <v>192.87</v>
      </c>
      <c r="AN300" s="7" t="s">
        <v>54</v>
      </c>
      <c r="AO300" s="7" t="s">
        <v>55</v>
      </c>
      <c r="AP300" s="7" t="s">
        <v>56</v>
      </c>
      <c r="AT300" s="47" t="s">
        <v>57</v>
      </c>
      <c r="AU300" s="47" t="s">
        <v>57</v>
      </c>
    </row>
    <row r="301" spans="1:47">
      <c r="A301" s="4" t="s">
        <v>48</v>
      </c>
      <c r="C301" s="21"/>
      <c r="D301" s="22" t="s">
        <v>49</v>
      </c>
      <c r="G301" s="23">
        <v>45092</v>
      </c>
      <c r="H301" s="24" t="s">
        <v>944</v>
      </c>
      <c r="J301" s="28" t="s">
        <v>51</v>
      </c>
      <c r="L301" s="24" t="s">
        <v>945</v>
      </c>
      <c r="M301" s="1" t="str">
        <f>"430523199611244331"</f>
        <v>430523199611244331</v>
      </c>
      <c r="N301" s="24" t="s">
        <v>945</v>
      </c>
      <c r="O301" s="1" t="str">
        <f>"430523199611244331"</f>
        <v>430523199611244331</v>
      </c>
      <c r="P301" s="23" t="s">
        <v>946</v>
      </c>
      <c r="Q301" s="23">
        <v>45139</v>
      </c>
      <c r="R301" s="32">
        <v>45505</v>
      </c>
      <c r="V301" s="33">
        <v>300</v>
      </c>
      <c r="W301" s="28">
        <v>64.29</v>
      </c>
      <c r="X301" s="34" t="s">
        <v>54</v>
      </c>
      <c r="Y301" s="33">
        <v>192.87</v>
      </c>
      <c r="AC301" s="28">
        <v>64.29</v>
      </c>
      <c r="AD301" s="34" t="s">
        <v>54</v>
      </c>
      <c r="AE301" s="33">
        <v>192.87</v>
      </c>
      <c r="AN301" s="7" t="s">
        <v>54</v>
      </c>
      <c r="AO301" s="7" t="s">
        <v>55</v>
      </c>
      <c r="AP301" s="7" t="s">
        <v>56</v>
      </c>
      <c r="AT301" s="47" t="s">
        <v>57</v>
      </c>
      <c r="AU301" s="47" t="s">
        <v>57</v>
      </c>
    </row>
    <row r="302" spans="1:47">
      <c r="A302" s="4" t="s">
        <v>48</v>
      </c>
      <c r="C302" s="21"/>
      <c r="D302" s="22" t="s">
        <v>49</v>
      </c>
      <c r="G302" s="23">
        <v>45091</v>
      </c>
      <c r="H302" s="24" t="s">
        <v>947</v>
      </c>
      <c r="J302" s="28" t="s">
        <v>51</v>
      </c>
      <c r="L302" s="24" t="s">
        <v>948</v>
      </c>
      <c r="M302" s="1" t="str">
        <f>"342121194409254010"</f>
        <v>342121194409254010</v>
      </c>
      <c r="N302" s="24" t="s">
        <v>948</v>
      </c>
      <c r="O302" s="1" t="str">
        <f>"342121194409254010"</f>
        <v>342121194409254010</v>
      </c>
      <c r="P302" s="23" t="s">
        <v>949</v>
      </c>
      <c r="Q302" s="23">
        <v>45092</v>
      </c>
      <c r="R302" s="32">
        <v>45458</v>
      </c>
      <c r="V302" s="33">
        <v>300</v>
      </c>
      <c r="W302" s="28">
        <v>64.29</v>
      </c>
      <c r="X302" s="34" t="s">
        <v>54</v>
      </c>
      <c r="Y302" s="33">
        <v>192.87</v>
      </c>
      <c r="AC302" s="28">
        <v>64.29</v>
      </c>
      <c r="AD302" s="34" t="s">
        <v>54</v>
      </c>
      <c r="AE302" s="33">
        <v>192.87</v>
      </c>
      <c r="AN302" s="7" t="s">
        <v>54</v>
      </c>
      <c r="AO302" s="7" t="s">
        <v>55</v>
      </c>
      <c r="AP302" s="7" t="s">
        <v>56</v>
      </c>
      <c r="AT302" s="47" t="s">
        <v>57</v>
      </c>
      <c r="AU302" s="47" t="s">
        <v>57</v>
      </c>
    </row>
    <row r="303" spans="1:47">
      <c r="A303" s="4" t="s">
        <v>48</v>
      </c>
      <c r="C303" s="21"/>
      <c r="D303" s="22" t="s">
        <v>49</v>
      </c>
      <c r="G303" s="23">
        <v>45091</v>
      </c>
      <c r="H303" s="24" t="s">
        <v>950</v>
      </c>
      <c r="J303" s="28" t="s">
        <v>51</v>
      </c>
      <c r="L303" s="24" t="s">
        <v>951</v>
      </c>
      <c r="M303" s="1" t="str">
        <f>"341225198902082310"</f>
        <v>341225198902082310</v>
      </c>
      <c r="N303" s="24" t="s">
        <v>951</v>
      </c>
      <c r="O303" s="1" t="str">
        <f>"341225198902082310"</f>
        <v>341225198902082310</v>
      </c>
      <c r="P303" s="23" t="s">
        <v>952</v>
      </c>
      <c r="Q303" s="23">
        <v>45092</v>
      </c>
      <c r="R303" s="32">
        <v>45458</v>
      </c>
      <c r="V303" s="33">
        <v>300</v>
      </c>
      <c r="W303" s="28">
        <v>64.29</v>
      </c>
      <c r="X303" s="34" t="s">
        <v>54</v>
      </c>
      <c r="Y303" s="33">
        <v>192.87</v>
      </c>
      <c r="AC303" s="28">
        <v>64.29</v>
      </c>
      <c r="AD303" s="34" t="s">
        <v>54</v>
      </c>
      <c r="AE303" s="33">
        <v>192.87</v>
      </c>
      <c r="AN303" s="7" t="s">
        <v>54</v>
      </c>
      <c r="AO303" s="7" t="s">
        <v>55</v>
      </c>
      <c r="AP303" s="7" t="s">
        <v>56</v>
      </c>
      <c r="AT303" s="47" t="s">
        <v>57</v>
      </c>
      <c r="AU303" s="47" t="s">
        <v>57</v>
      </c>
    </row>
    <row r="304" spans="1:47">
      <c r="A304" s="4" t="s">
        <v>48</v>
      </c>
      <c r="C304" s="21"/>
      <c r="D304" s="22" t="s">
        <v>49</v>
      </c>
      <c r="G304" s="23">
        <v>45096</v>
      </c>
      <c r="H304" s="24" t="s">
        <v>953</v>
      </c>
      <c r="J304" s="28" t="s">
        <v>51</v>
      </c>
      <c r="L304" s="24" t="s">
        <v>954</v>
      </c>
      <c r="M304" s="1" t="str">
        <f>"110106197901200060"</f>
        <v>110106197901200060</v>
      </c>
      <c r="N304" s="24" t="s">
        <v>954</v>
      </c>
      <c r="O304" s="1" t="str">
        <f>"110106197901200060"</f>
        <v>110106197901200060</v>
      </c>
      <c r="P304" s="23" t="s">
        <v>955</v>
      </c>
      <c r="Q304" s="23">
        <v>45097</v>
      </c>
      <c r="R304" s="32">
        <v>45463</v>
      </c>
      <c r="V304" s="33">
        <v>50</v>
      </c>
      <c r="W304" s="28">
        <v>64.29</v>
      </c>
      <c r="X304" s="34" t="s">
        <v>54</v>
      </c>
      <c r="Y304" s="33">
        <v>32.15</v>
      </c>
      <c r="AC304" s="28">
        <v>64.29</v>
      </c>
      <c r="AD304" s="34" t="s">
        <v>54</v>
      </c>
      <c r="AE304" s="33">
        <v>32.15</v>
      </c>
      <c r="AN304" s="7" t="s">
        <v>54</v>
      </c>
      <c r="AO304" s="7" t="s">
        <v>55</v>
      </c>
      <c r="AP304" s="7" t="s">
        <v>56</v>
      </c>
      <c r="AT304" s="47" t="s">
        <v>57</v>
      </c>
      <c r="AU304" s="47" t="s">
        <v>57</v>
      </c>
    </row>
    <row r="305" spans="1:47">
      <c r="A305" s="4" t="s">
        <v>48</v>
      </c>
      <c r="C305" s="21"/>
      <c r="D305" s="22" t="s">
        <v>49</v>
      </c>
      <c r="G305" s="23">
        <v>45091</v>
      </c>
      <c r="H305" s="24" t="s">
        <v>956</v>
      </c>
      <c r="J305" s="28" t="s">
        <v>51</v>
      </c>
      <c r="L305" s="24" t="s">
        <v>957</v>
      </c>
      <c r="M305" s="1" t="str">
        <f>"132822195609190015"</f>
        <v>132822195609190015</v>
      </c>
      <c r="N305" s="24" t="s">
        <v>957</v>
      </c>
      <c r="O305" s="1" t="str">
        <f>"132822195609190015"</f>
        <v>132822195609190015</v>
      </c>
      <c r="P305" s="23" t="s">
        <v>958</v>
      </c>
      <c r="Q305" s="23">
        <v>45092</v>
      </c>
      <c r="R305" s="32">
        <v>45458</v>
      </c>
      <c r="V305" s="33">
        <v>50</v>
      </c>
      <c r="W305" s="28">
        <v>64.29</v>
      </c>
      <c r="X305" s="34" t="s">
        <v>54</v>
      </c>
      <c r="Y305" s="33">
        <v>32.15</v>
      </c>
      <c r="AC305" s="28">
        <v>64.29</v>
      </c>
      <c r="AD305" s="34" t="s">
        <v>54</v>
      </c>
      <c r="AE305" s="33">
        <v>32.15</v>
      </c>
      <c r="AN305" s="7" t="s">
        <v>54</v>
      </c>
      <c r="AO305" s="7" t="s">
        <v>55</v>
      </c>
      <c r="AP305" s="7" t="s">
        <v>56</v>
      </c>
      <c r="AT305" s="47" t="s">
        <v>57</v>
      </c>
      <c r="AU305" s="47" t="s">
        <v>57</v>
      </c>
    </row>
    <row r="306" spans="1:47">
      <c r="A306" s="4" t="s">
        <v>48</v>
      </c>
      <c r="C306" s="21"/>
      <c r="D306" s="22" t="s">
        <v>49</v>
      </c>
      <c r="G306" s="23">
        <v>45092</v>
      </c>
      <c r="H306" s="24" t="s">
        <v>959</v>
      </c>
      <c r="J306" s="28" t="s">
        <v>51</v>
      </c>
      <c r="L306" s="24" t="s">
        <v>960</v>
      </c>
      <c r="M306" s="1" t="str">
        <f>"131082199507140295"</f>
        <v>131082199507140295</v>
      </c>
      <c r="N306" s="24" t="s">
        <v>960</v>
      </c>
      <c r="O306" s="1" t="str">
        <f>"131082199507140295"</f>
        <v>131082199507140295</v>
      </c>
      <c r="P306" s="23" t="s">
        <v>961</v>
      </c>
      <c r="Q306" s="23">
        <v>45093</v>
      </c>
      <c r="R306" s="32">
        <v>45459</v>
      </c>
      <c r="V306" s="33">
        <v>50</v>
      </c>
      <c r="W306" s="28">
        <v>64.29</v>
      </c>
      <c r="X306" s="34" t="s">
        <v>54</v>
      </c>
      <c r="Y306" s="33">
        <v>32.15</v>
      </c>
      <c r="AC306" s="28">
        <v>64.29</v>
      </c>
      <c r="AD306" s="34" t="s">
        <v>54</v>
      </c>
      <c r="AE306" s="33">
        <v>32.15</v>
      </c>
      <c r="AN306" s="7" t="s">
        <v>54</v>
      </c>
      <c r="AO306" s="7" t="s">
        <v>55</v>
      </c>
      <c r="AP306" s="7" t="s">
        <v>56</v>
      </c>
      <c r="AT306" s="47" t="s">
        <v>57</v>
      </c>
      <c r="AU306" s="47" t="s">
        <v>57</v>
      </c>
    </row>
    <row r="307" spans="1:47">
      <c r="A307" s="4" t="s">
        <v>48</v>
      </c>
      <c r="C307" s="21"/>
      <c r="D307" s="22" t="s">
        <v>49</v>
      </c>
      <c r="G307" s="23">
        <v>45092</v>
      </c>
      <c r="H307" s="24" t="s">
        <v>962</v>
      </c>
      <c r="J307" s="28" t="s">
        <v>51</v>
      </c>
      <c r="L307" s="24" t="s">
        <v>963</v>
      </c>
      <c r="M307" s="1" t="str">
        <f>"131082199507140295"</f>
        <v>131082199507140295</v>
      </c>
      <c r="N307" s="24" t="s">
        <v>963</v>
      </c>
      <c r="O307" s="1" t="str">
        <f>"131082199507140295"</f>
        <v>131082199507140295</v>
      </c>
      <c r="P307" s="23" t="s">
        <v>961</v>
      </c>
      <c r="Q307" s="23">
        <v>45093</v>
      </c>
      <c r="R307" s="32">
        <v>45459</v>
      </c>
      <c r="V307" s="33">
        <v>50</v>
      </c>
      <c r="W307" s="28">
        <v>64.29</v>
      </c>
      <c r="X307" s="34" t="s">
        <v>54</v>
      </c>
      <c r="Y307" s="33">
        <v>32.15</v>
      </c>
      <c r="AC307" s="28">
        <v>64.29</v>
      </c>
      <c r="AD307" s="34" t="s">
        <v>54</v>
      </c>
      <c r="AE307" s="33">
        <v>32.15</v>
      </c>
      <c r="AN307" s="7" t="s">
        <v>54</v>
      </c>
      <c r="AO307" s="7" t="s">
        <v>55</v>
      </c>
      <c r="AP307" s="7" t="s">
        <v>56</v>
      </c>
      <c r="AT307" s="47" t="s">
        <v>57</v>
      </c>
      <c r="AU307" s="47" t="s">
        <v>57</v>
      </c>
    </row>
    <row r="308" spans="1:47">
      <c r="A308" s="4" t="s">
        <v>48</v>
      </c>
      <c r="C308" s="21"/>
      <c r="D308" s="22" t="s">
        <v>49</v>
      </c>
      <c r="G308" s="23">
        <v>45102</v>
      </c>
      <c r="H308" s="24" t="s">
        <v>964</v>
      </c>
      <c r="J308" s="28" t="s">
        <v>51</v>
      </c>
      <c r="L308" s="24" t="s">
        <v>965</v>
      </c>
      <c r="M308" s="1" t="str">
        <f>"211421199707306412"</f>
        <v>211421199707306412</v>
      </c>
      <c r="N308" s="24" t="s">
        <v>965</v>
      </c>
      <c r="O308" s="1" t="str">
        <f>"211421199707306412"</f>
        <v>211421199707306412</v>
      </c>
      <c r="P308" s="23" t="s">
        <v>966</v>
      </c>
      <c r="Q308" s="23">
        <v>45103</v>
      </c>
      <c r="R308" s="32">
        <v>45469</v>
      </c>
      <c r="V308" s="33">
        <v>100</v>
      </c>
      <c r="W308" s="28">
        <v>64.29</v>
      </c>
      <c r="X308" s="34" t="s">
        <v>54</v>
      </c>
      <c r="Y308" s="33">
        <v>64.29</v>
      </c>
      <c r="AC308" s="28">
        <v>64.29</v>
      </c>
      <c r="AD308" s="34" t="s">
        <v>54</v>
      </c>
      <c r="AE308" s="33">
        <v>64.29</v>
      </c>
      <c r="AN308" s="7" t="s">
        <v>54</v>
      </c>
      <c r="AO308" s="7" t="s">
        <v>55</v>
      </c>
      <c r="AP308" s="7" t="s">
        <v>56</v>
      </c>
      <c r="AT308" s="47" t="s">
        <v>57</v>
      </c>
      <c r="AU308" s="47" t="s">
        <v>57</v>
      </c>
    </row>
    <row r="309" spans="1:47">
      <c r="A309" s="4" t="s">
        <v>48</v>
      </c>
      <c r="C309" s="21"/>
      <c r="D309" s="22" t="s">
        <v>49</v>
      </c>
      <c r="G309" s="23">
        <v>45102</v>
      </c>
      <c r="H309" s="24" t="s">
        <v>967</v>
      </c>
      <c r="J309" s="28" t="s">
        <v>51</v>
      </c>
      <c r="L309" s="24" t="s">
        <v>968</v>
      </c>
      <c r="M309" s="1" t="str">
        <f>"142726199102040026"</f>
        <v>142726199102040026</v>
      </c>
      <c r="N309" s="24" t="s">
        <v>968</v>
      </c>
      <c r="O309" s="1" t="str">
        <f>"142726199102040026"</f>
        <v>142726199102040026</v>
      </c>
      <c r="P309" s="23" t="s">
        <v>969</v>
      </c>
      <c r="Q309" s="23">
        <v>45103</v>
      </c>
      <c r="R309" s="32">
        <v>45469</v>
      </c>
      <c r="V309" s="33">
        <v>100</v>
      </c>
      <c r="W309" s="28">
        <v>64.29</v>
      </c>
      <c r="X309" s="34" t="s">
        <v>54</v>
      </c>
      <c r="Y309" s="33">
        <v>64.29</v>
      </c>
      <c r="AC309" s="28">
        <v>64.29</v>
      </c>
      <c r="AD309" s="34" t="s">
        <v>54</v>
      </c>
      <c r="AE309" s="33">
        <v>64.29</v>
      </c>
      <c r="AN309" s="7" t="s">
        <v>54</v>
      </c>
      <c r="AO309" s="7" t="s">
        <v>55</v>
      </c>
      <c r="AP309" s="7" t="s">
        <v>56</v>
      </c>
      <c r="AT309" s="47" t="s">
        <v>57</v>
      </c>
      <c r="AU309" s="47" t="s">
        <v>57</v>
      </c>
    </row>
    <row r="310" spans="1:47">
      <c r="A310" s="4" t="s">
        <v>48</v>
      </c>
      <c r="C310" s="21"/>
      <c r="D310" s="22" t="s">
        <v>49</v>
      </c>
      <c r="G310" s="23">
        <v>45089</v>
      </c>
      <c r="H310" s="24" t="s">
        <v>970</v>
      </c>
      <c r="J310" s="28" t="s">
        <v>51</v>
      </c>
      <c r="L310" s="24" t="s">
        <v>971</v>
      </c>
      <c r="M310" s="1" t="str">
        <f>"13282119580610292X"</f>
        <v>13282119580610292X</v>
      </c>
      <c r="N310" s="24" t="s">
        <v>971</v>
      </c>
      <c r="O310" s="1" t="str">
        <f>"13282119580610292X"</f>
        <v>13282119580610292X</v>
      </c>
      <c r="P310" s="23" t="s">
        <v>972</v>
      </c>
      <c r="Q310" s="23">
        <v>45170</v>
      </c>
      <c r="R310" s="32">
        <v>45536</v>
      </c>
      <c r="V310" s="33">
        <v>100</v>
      </c>
      <c r="W310" s="28">
        <v>64.29</v>
      </c>
      <c r="X310" s="34" t="s">
        <v>54</v>
      </c>
      <c r="Y310" s="33">
        <v>64.29</v>
      </c>
      <c r="AC310" s="28">
        <v>64.29</v>
      </c>
      <c r="AD310" s="34" t="s">
        <v>54</v>
      </c>
      <c r="AE310" s="33">
        <v>64.29</v>
      </c>
      <c r="AN310" s="7" t="s">
        <v>54</v>
      </c>
      <c r="AO310" s="7" t="s">
        <v>55</v>
      </c>
      <c r="AP310" s="7" t="s">
        <v>56</v>
      </c>
      <c r="AT310" s="47" t="s">
        <v>57</v>
      </c>
      <c r="AU310" s="47" t="s">
        <v>57</v>
      </c>
    </row>
    <row r="311" spans="1:47">
      <c r="A311" s="4" t="s">
        <v>48</v>
      </c>
      <c r="C311" s="21"/>
      <c r="D311" s="22" t="s">
        <v>49</v>
      </c>
      <c r="G311" s="23">
        <v>45089</v>
      </c>
      <c r="H311" s="24" t="s">
        <v>973</v>
      </c>
      <c r="J311" s="28" t="s">
        <v>51</v>
      </c>
      <c r="L311" s="24" t="s">
        <v>974</v>
      </c>
      <c r="M311" s="1" t="str">
        <f>"411421198811216575"</f>
        <v>411421198811216575</v>
      </c>
      <c r="N311" s="24" t="s">
        <v>974</v>
      </c>
      <c r="O311" s="1" t="str">
        <f>"411421198811216575"</f>
        <v>411421198811216575</v>
      </c>
      <c r="P311" s="23" t="s">
        <v>975</v>
      </c>
      <c r="Q311" s="23">
        <v>45212</v>
      </c>
      <c r="R311" s="32">
        <v>45578</v>
      </c>
      <c r="V311" s="33">
        <v>100</v>
      </c>
      <c r="W311" s="28">
        <v>64.29</v>
      </c>
      <c r="X311" s="34" t="s">
        <v>54</v>
      </c>
      <c r="Y311" s="33">
        <v>64.29</v>
      </c>
      <c r="AC311" s="28">
        <v>64.29</v>
      </c>
      <c r="AD311" s="34" t="s">
        <v>54</v>
      </c>
      <c r="AE311" s="33">
        <v>64.29</v>
      </c>
      <c r="AN311" s="7" t="s">
        <v>54</v>
      </c>
      <c r="AO311" s="7" t="s">
        <v>55</v>
      </c>
      <c r="AP311" s="7" t="s">
        <v>56</v>
      </c>
      <c r="AT311" s="47" t="s">
        <v>57</v>
      </c>
      <c r="AU311" s="47" t="s">
        <v>57</v>
      </c>
    </row>
    <row r="312" spans="1:47">
      <c r="A312" s="4" t="s">
        <v>48</v>
      </c>
      <c r="C312" s="21"/>
      <c r="D312" s="22" t="s">
        <v>49</v>
      </c>
      <c r="G312" s="23">
        <v>45090</v>
      </c>
      <c r="H312" s="24" t="s">
        <v>976</v>
      </c>
      <c r="J312" s="28" t="s">
        <v>51</v>
      </c>
      <c r="L312" s="24" t="s">
        <v>977</v>
      </c>
      <c r="M312" s="1" t="str">
        <f>"131028199203062031"</f>
        <v>131028199203062031</v>
      </c>
      <c r="N312" s="24" t="s">
        <v>977</v>
      </c>
      <c r="O312" s="1" t="str">
        <f>"131028199203062031"</f>
        <v>131028199203062031</v>
      </c>
      <c r="P312" s="23" t="s">
        <v>978</v>
      </c>
      <c r="Q312" s="23">
        <v>45091</v>
      </c>
      <c r="R312" s="32">
        <v>45457</v>
      </c>
      <c r="V312" s="33">
        <v>100</v>
      </c>
      <c r="W312" s="28">
        <v>64.29</v>
      </c>
      <c r="X312" s="34" t="s">
        <v>54</v>
      </c>
      <c r="Y312" s="33">
        <v>64.29</v>
      </c>
      <c r="AC312" s="28">
        <v>64.29</v>
      </c>
      <c r="AD312" s="34" t="s">
        <v>54</v>
      </c>
      <c r="AE312" s="33">
        <v>64.29</v>
      </c>
      <c r="AN312" s="7" t="s">
        <v>54</v>
      </c>
      <c r="AO312" s="7" t="s">
        <v>55</v>
      </c>
      <c r="AP312" s="7" t="s">
        <v>56</v>
      </c>
      <c r="AT312" s="47" t="s">
        <v>57</v>
      </c>
      <c r="AU312" s="47" t="s">
        <v>57</v>
      </c>
    </row>
    <row r="313" spans="1:47">
      <c r="A313" s="4" t="s">
        <v>48</v>
      </c>
      <c r="C313" s="21"/>
      <c r="D313" s="22" t="s">
        <v>49</v>
      </c>
      <c r="G313" s="23">
        <v>45089</v>
      </c>
      <c r="H313" s="24" t="s">
        <v>979</v>
      </c>
      <c r="J313" s="28" t="s">
        <v>51</v>
      </c>
      <c r="L313" s="24" t="s">
        <v>980</v>
      </c>
      <c r="M313" s="1" t="str">
        <f>"131082198512112032"</f>
        <v>131082198512112032</v>
      </c>
      <c r="N313" s="24" t="s">
        <v>980</v>
      </c>
      <c r="O313" s="1" t="str">
        <f>"131082198512112032"</f>
        <v>131082198512112032</v>
      </c>
      <c r="P313" s="23" t="s">
        <v>981</v>
      </c>
      <c r="Q313" s="23">
        <v>45099</v>
      </c>
      <c r="R313" s="32">
        <v>45465</v>
      </c>
      <c r="V313" s="33">
        <v>100</v>
      </c>
      <c r="W313" s="28">
        <v>64.29</v>
      </c>
      <c r="X313" s="34" t="s">
        <v>54</v>
      </c>
      <c r="Y313" s="33">
        <v>64.29</v>
      </c>
      <c r="AC313" s="28">
        <v>64.29</v>
      </c>
      <c r="AD313" s="34" t="s">
        <v>54</v>
      </c>
      <c r="AE313" s="33">
        <v>64.29</v>
      </c>
      <c r="AN313" s="7" t="s">
        <v>54</v>
      </c>
      <c r="AO313" s="7" t="s">
        <v>55</v>
      </c>
      <c r="AP313" s="7" t="s">
        <v>56</v>
      </c>
      <c r="AT313" s="47" t="s">
        <v>57</v>
      </c>
      <c r="AU313" s="47" t="s">
        <v>57</v>
      </c>
    </row>
    <row r="314" spans="1:47">
      <c r="A314" s="4" t="s">
        <v>48</v>
      </c>
      <c r="C314" s="21"/>
      <c r="D314" s="22" t="s">
        <v>49</v>
      </c>
      <c r="G314" s="23">
        <v>45089</v>
      </c>
      <c r="H314" s="24" t="s">
        <v>982</v>
      </c>
      <c r="J314" s="28" t="s">
        <v>51</v>
      </c>
      <c r="L314" s="24" t="s">
        <v>983</v>
      </c>
      <c r="M314" s="1" t="str">
        <f>"341202196701013358"</f>
        <v>341202196701013358</v>
      </c>
      <c r="N314" s="24" t="s">
        <v>983</v>
      </c>
      <c r="O314" s="1" t="str">
        <f>"341202196701013358"</f>
        <v>341202196701013358</v>
      </c>
      <c r="P314" s="23" t="s">
        <v>984</v>
      </c>
      <c r="Q314" s="23">
        <v>45090</v>
      </c>
      <c r="R314" s="32">
        <v>45456</v>
      </c>
      <c r="V314" s="33">
        <v>100</v>
      </c>
      <c r="W314" s="28">
        <v>64.29</v>
      </c>
      <c r="X314" s="34" t="s">
        <v>54</v>
      </c>
      <c r="Y314" s="33">
        <v>64.29</v>
      </c>
      <c r="AC314" s="28">
        <v>64.29</v>
      </c>
      <c r="AD314" s="34" t="s">
        <v>54</v>
      </c>
      <c r="AE314" s="33">
        <v>64.29</v>
      </c>
      <c r="AN314" s="7" t="s">
        <v>54</v>
      </c>
      <c r="AO314" s="7" t="s">
        <v>55</v>
      </c>
      <c r="AP314" s="7" t="s">
        <v>56</v>
      </c>
      <c r="AT314" s="47" t="s">
        <v>57</v>
      </c>
      <c r="AU314" s="47" t="s">
        <v>57</v>
      </c>
    </row>
    <row r="315" spans="1:47">
      <c r="A315" s="4" t="s">
        <v>48</v>
      </c>
      <c r="C315" s="21"/>
      <c r="D315" s="22" t="s">
        <v>49</v>
      </c>
      <c r="G315" s="23">
        <v>45090</v>
      </c>
      <c r="H315" s="24" t="s">
        <v>985</v>
      </c>
      <c r="J315" s="28" t="s">
        <v>51</v>
      </c>
      <c r="L315" s="24" t="s">
        <v>986</v>
      </c>
      <c r="M315" s="1" t="str">
        <f>"342101197502262021"</f>
        <v>342101197502262021</v>
      </c>
      <c r="N315" s="24" t="s">
        <v>986</v>
      </c>
      <c r="O315" s="1" t="str">
        <f>"342101197502262021"</f>
        <v>342101197502262021</v>
      </c>
      <c r="P315" s="23" t="s">
        <v>987</v>
      </c>
      <c r="Q315" s="23">
        <v>45091</v>
      </c>
      <c r="R315" s="32">
        <v>45457</v>
      </c>
      <c r="V315" s="33">
        <v>100</v>
      </c>
      <c r="W315" s="28">
        <v>64.29</v>
      </c>
      <c r="X315" s="34" t="s">
        <v>54</v>
      </c>
      <c r="Y315" s="33">
        <v>64.29</v>
      </c>
      <c r="AC315" s="28">
        <v>64.29</v>
      </c>
      <c r="AD315" s="34" t="s">
        <v>54</v>
      </c>
      <c r="AE315" s="33">
        <v>64.29</v>
      </c>
      <c r="AN315" s="7" t="s">
        <v>54</v>
      </c>
      <c r="AO315" s="7" t="s">
        <v>55</v>
      </c>
      <c r="AP315" s="7" t="s">
        <v>56</v>
      </c>
      <c r="AT315" s="47" t="s">
        <v>57</v>
      </c>
      <c r="AU315" s="47" t="s">
        <v>57</v>
      </c>
    </row>
    <row r="316" spans="1:47">
      <c r="A316" s="4" t="s">
        <v>48</v>
      </c>
      <c r="C316" s="21"/>
      <c r="D316" s="22" t="s">
        <v>49</v>
      </c>
      <c r="G316" s="23">
        <v>45077</v>
      </c>
      <c r="H316" s="24" t="s">
        <v>988</v>
      </c>
      <c r="J316" s="28" t="s">
        <v>51</v>
      </c>
      <c r="L316" s="24" t="s">
        <v>989</v>
      </c>
      <c r="M316" s="1" t="str">
        <f>"33012119711220002X"</f>
        <v>33012119711220002X</v>
      </c>
      <c r="N316" s="24" t="s">
        <v>989</v>
      </c>
      <c r="O316" s="1" t="str">
        <f>"33012119711220002X"</f>
        <v>33012119711220002X</v>
      </c>
      <c r="P316" s="23" t="s">
        <v>990</v>
      </c>
      <c r="Q316" s="23">
        <v>45288</v>
      </c>
      <c r="R316" s="32">
        <v>45654</v>
      </c>
      <c r="V316" s="33">
        <v>100</v>
      </c>
      <c r="W316" s="28">
        <v>64.29</v>
      </c>
      <c r="X316" s="34" t="s">
        <v>54</v>
      </c>
      <c r="Y316" s="33">
        <v>64.29</v>
      </c>
      <c r="AC316" s="28">
        <v>64.29</v>
      </c>
      <c r="AD316" s="34" t="s">
        <v>54</v>
      </c>
      <c r="AE316" s="33">
        <v>64.29</v>
      </c>
      <c r="AN316" s="7" t="s">
        <v>54</v>
      </c>
      <c r="AO316" s="7" t="s">
        <v>55</v>
      </c>
      <c r="AP316" s="7" t="s">
        <v>56</v>
      </c>
      <c r="AT316" s="47" t="s">
        <v>57</v>
      </c>
      <c r="AU316" s="47" t="s">
        <v>57</v>
      </c>
    </row>
    <row r="317" spans="1:47">
      <c r="A317" s="4" t="s">
        <v>48</v>
      </c>
      <c r="C317" s="21"/>
      <c r="D317" s="22" t="s">
        <v>49</v>
      </c>
      <c r="G317" s="23">
        <v>45078</v>
      </c>
      <c r="H317" s="24" t="s">
        <v>991</v>
      </c>
      <c r="J317" s="28" t="s">
        <v>51</v>
      </c>
      <c r="L317" s="24" t="s">
        <v>992</v>
      </c>
      <c r="M317" s="1" t="str">
        <f>"110108196306254820"</f>
        <v>110108196306254820</v>
      </c>
      <c r="N317" s="24" t="s">
        <v>992</v>
      </c>
      <c r="O317" s="1" t="str">
        <f>"110108196306254820"</f>
        <v>110108196306254820</v>
      </c>
      <c r="P317" s="23" t="s">
        <v>993</v>
      </c>
      <c r="Q317" s="23">
        <v>45092</v>
      </c>
      <c r="R317" s="32">
        <v>45458</v>
      </c>
      <c r="V317" s="33">
        <v>100</v>
      </c>
      <c r="W317" s="28">
        <v>64.29</v>
      </c>
      <c r="X317" s="34" t="s">
        <v>54</v>
      </c>
      <c r="Y317" s="33">
        <v>64.29</v>
      </c>
      <c r="AC317" s="28">
        <v>64.29</v>
      </c>
      <c r="AD317" s="34" t="s">
        <v>54</v>
      </c>
      <c r="AE317" s="33">
        <v>64.29</v>
      </c>
      <c r="AN317" s="7" t="s">
        <v>54</v>
      </c>
      <c r="AO317" s="7" t="s">
        <v>55</v>
      </c>
      <c r="AP317" s="7" t="s">
        <v>56</v>
      </c>
      <c r="AT317" s="47" t="s">
        <v>57</v>
      </c>
      <c r="AU317" s="47" t="s">
        <v>57</v>
      </c>
    </row>
    <row r="318" spans="1:47">
      <c r="A318" s="4" t="s">
        <v>48</v>
      </c>
      <c r="C318" s="21"/>
      <c r="D318" s="22" t="s">
        <v>49</v>
      </c>
      <c r="G318" s="23">
        <v>45078</v>
      </c>
      <c r="H318" s="24" t="s">
        <v>994</v>
      </c>
      <c r="J318" s="28" t="s">
        <v>51</v>
      </c>
      <c r="L318" s="24" t="s">
        <v>995</v>
      </c>
      <c r="M318" s="1" t="str">
        <f>"131082198810260295"</f>
        <v>131082198810260295</v>
      </c>
      <c r="N318" s="24" t="s">
        <v>995</v>
      </c>
      <c r="O318" s="1" t="str">
        <f>"131082198810260295"</f>
        <v>131082198810260295</v>
      </c>
      <c r="P318" s="23" t="s">
        <v>996</v>
      </c>
      <c r="Q318" s="23">
        <v>45232</v>
      </c>
      <c r="R318" s="32">
        <v>45598</v>
      </c>
      <c r="V318" s="33">
        <v>100</v>
      </c>
      <c r="W318" s="28">
        <v>64.29</v>
      </c>
      <c r="X318" s="34" t="s">
        <v>54</v>
      </c>
      <c r="Y318" s="33">
        <v>64.29</v>
      </c>
      <c r="AC318" s="28">
        <v>64.29</v>
      </c>
      <c r="AD318" s="34" t="s">
        <v>54</v>
      </c>
      <c r="AE318" s="33">
        <v>64.29</v>
      </c>
      <c r="AN318" s="7" t="s">
        <v>54</v>
      </c>
      <c r="AO318" s="7" t="s">
        <v>55</v>
      </c>
      <c r="AP318" s="7" t="s">
        <v>56</v>
      </c>
      <c r="AT318" s="47" t="s">
        <v>57</v>
      </c>
      <c r="AU318" s="47" t="s">
        <v>57</v>
      </c>
    </row>
    <row r="319" spans="1:47">
      <c r="A319" s="4" t="s">
        <v>48</v>
      </c>
      <c r="C319" s="21"/>
      <c r="D319" s="22" t="s">
        <v>49</v>
      </c>
      <c r="G319" s="23">
        <v>45086</v>
      </c>
      <c r="H319" s="24" t="s">
        <v>997</v>
      </c>
      <c r="J319" s="28" t="s">
        <v>51</v>
      </c>
      <c r="L319" s="24" t="s">
        <v>998</v>
      </c>
      <c r="M319" s="1" t="str">
        <f>"131082199008131028"</f>
        <v>131082199008131028</v>
      </c>
      <c r="N319" s="24" t="s">
        <v>998</v>
      </c>
      <c r="O319" s="1" t="str">
        <f>"131082199008131028"</f>
        <v>131082199008131028</v>
      </c>
      <c r="P319" s="23" t="s">
        <v>999</v>
      </c>
      <c r="Q319" s="23">
        <v>45087</v>
      </c>
      <c r="R319" s="32">
        <v>45453</v>
      </c>
      <c r="V319" s="33">
        <v>300</v>
      </c>
      <c r="W319" s="28">
        <v>64.29</v>
      </c>
      <c r="X319" s="34" t="s">
        <v>54</v>
      </c>
      <c r="Y319" s="33">
        <v>192.87</v>
      </c>
      <c r="AC319" s="28">
        <v>64.29</v>
      </c>
      <c r="AD319" s="34" t="s">
        <v>54</v>
      </c>
      <c r="AE319" s="33">
        <v>192.87</v>
      </c>
      <c r="AN319" s="7" t="s">
        <v>54</v>
      </c>
      <c r="AO319" s="7" t="s">
        <v>55</v>
      </c>
      <c r="AP319" s="7" t="s">
        <v>56</v>
      </c>
      <c r="AT319" s="47" t="s">
        <v>57</v>
      </c>
      <c r="AU319" s="47" t="s">
        <v>57</v>
      </c>
    </row>
    <row r="320" spans="1:47">
      <c r="A320" s="4" t="s">
        <v>48</v>
      </c>
      <c r="C320" s="21"/>
      <c r="D320" s="22" t="s">
        <v>49</v>
      </c>
      <c r="G320" s="23">
        <v>45080</v>
      </c>
      <c r="H320" s="24" t="s">
        <v>1000</v>
      </c>
      <c r="J320" s="28" t="s">
        <v>51</v>
      </c>
      <c r="L320" s="24" t="s">
        <v>1001</v>
      </c>
      <c r="M320" s="1" t="str">
        <f>"131082197203270526"</f>
        <v>131082197203270526</v>
      </c>
      <c r="N320" s="24" t="s">
        <v>1001</v>
      </c>
      <c r="O320" s="1" t="str">
        <f>"131082197203270526"</f>
        <v>131082197203270526</v>
      </c>
      <c r="P320" s="23" t="s">
        <v>1002</v>
      </c>
      <c r="Q320" s="23">
        <v>45081</v>
      </c>
      <c r="R320" s="32">
        <v>45447</v>
      </c>
      <c r="V320" s="33">
        <v>300</v>
      </c>
      <c r="W320" s="28">
        <v>64.29</v>
      </c>
      <c r="X320" s="34" t="s">
        <v>54</v>
      </c>
      <c r="Y320" s="33">
        <v>192.87</v>
      </c>
      <c r="AC320" s="28">
        <v>64.29</v>
      </c>
      <c r="AD320" s="34" t="s">
        <v>54</v>
      </c>
      <c r="AE320" s="33">
        <v>192.87</v>
      </c>
      <c r="AN320" s="7" t="s">
        <v>54</v>
      </c>
      <c r="AO320" s="7" t="s">
        <v>55</v>
      </c>
      <c r="AP320" s="7" t="s">
        <v>56</v>
      </c>
      <c r="AT320" s="47" t="s">
        <v>57</v>
      </c>
      <c r="AU320" s="47" t="s">
        <v>57</v>
      </c>
    </row>
    <row r="321" spans="1:47">
      <c r="A321" s="4" t="s">
        <v>48</v>
      </c>
      <c r="C321" s="21"/>
      <c r="D321" s="22" t="s">
        <v>49</v>
      </c>
      <c r="G321" s="23">
        <v>45101</v>
      </c>
      <c r="H321" s="24" t="s">
        <v>1003</v>
      </c>
      <c r="J321" s="28" t="s">
        <v>51</v>
      </c>
      <c r="L321" s="24" t="s">
        <v>1004</v>
      </c>
      <c r="M321" s="1" t="str">
        <f>"12022219951027582X"</f>
        <v>12022219951027582X</v>
      </c>
      <c r="N321" s="24" t="s">
        <v>1004</v>
      </c>
      <c r="O321" s="1" t="str">
        <f>"12022219951027582X"</f>
        <v>12022219951027582X</v>
      </c>
      <c r="P321" s="23" t="s">
        <v>1005</v>
      </c>
      <c r="Q321" s="23">
        <v>45102</v>
      </c>
      <c r="R321" s="32">
        <v>45468</v>
      </c>
      <c r="V321" s="33">
        <v>600</v>
      </c>
      <c r="W321" s="28">
        <v>64.29</v>
      </c>
      <c r="X321" s="34" t="s">
        <v>54</v>
      </c>
      <c r="Y321" s="33">
        <v>385.74</v>
      </c>
      <c r="AC321" s="28">
        <v>64.29</v>
      </c>
      <c r="AD321" s="34" t="s">
        <v>54</v>
      </c>
      <c r="AE321" s="33">
        <v>385.74</v>
      </c>
      <c r="AN321" s="7" t="s">
        <v>54</v>
      </c>
      <c r="AO321" s="7" t="s">
        <v>55</v>
      </c>
      <c r="AP321" s="7" t="s">
        <v>56</v>
      </c>
      <c r="AT321" s="47" t="s">
        <v>57</v>
      </c>
      <c r="AU321" s="47" t="s">
        <v>57</v>
      </c>
    </row>
    <row r="322" spans="1:47">
      <c r="A322" s="4" t="s">
        <v>48</v>
      </c>
      <c r="C322" s="21"/>
      <c r="D322" s="22" t="s">
        <v>49</v>
      </c>
      <c r="G322" s="23">
        <v>45098</v>
      </c>
      <c r="H322" s="24" t="s">
        <v>1006</v>
      </c>
      <c r="J322" s="28" t="s">
        <v>51</v>
      </c>
      <c r="L322" s="24" t="s">
        <v>1007</v>
      </c>
      <c r="M322" s="1" t="str">
        <f>"131082197008181018"</f>
        <v>131082197008181018</v>
      </c>
      <c r="N322" s="24" t="s">
        <v>1007</v>
      </c>
      <c r="O322" s="1" t="str">
        <f>"131082197008181018"</f>
        <v>131082197008181018</v>
      </c>
      <c r="P322" s="23" t="s">
        <v>1008</v>
      </c>
      <c r="Q322" s="23">
        <v>45099</v>
      </c>
      <c r="R322" s="32">
        <v>45465</v>
      </c>
      <c r="V322" s="33">
        <v>600</v>
      </c>
      <c r="W322" s="28">
        <v>64.29</v>
      </c>
      <c r="X322" s="34" t="s">
        <v>54</v>
      </c>
      <c r="Y322" s="33">
        <v>385.74</v>
      </c>
      <c r="AC322" s="28">
        <v>64.29</v>
      </c>
      <c r="AD322" s="34" t="s">
        <v>54</v>
      </c>
      <c r="AE322" s="33">
        <v>385.74</v>
      </c>
      <c r="AN322" s="7" t="s">
        <v>54</v>
      </c>
      <c r="AO322" s="7" t="s">
        <v>55</v>
      </c>
      <c r="AP322" s="7" t="s">
        <v>56</v>
      </c>
      <c r="AT322" s="47" t="s">
        <v>57</v>
      </c>
      <c r="AU322" s="47" t="s">
        <v>57</v>
      </c>
    </row>
    <row r="323" spans="1:47">
      <c r="A323" s="4" t="s">
        <v>48</v>
      </c>
      <c r="C323" s="21"/>
      <c r="D323" s="22" t="s">
        <v>49</v>
      </c>
      <c r="G323" s="23">
        <v>45089</v>
      </c>
      <c r="H323" s="24" t="s">
        <v>1009</v>
      </c>
      <c r="J323" s="28" t="s">
        <v>51</v>
      </c>
      <c r="L323" s="24" t="s">
        <v>1010</v>
      </c>
      <c r="M323" s="1" t="str">
        <f>"132821195608222912"</f>
        <v>132821195608222912</v>
      </c>
      <c r="N323" s="24" t="s">
        <v>1010</v>
      </c>
      <c r="O323" s="1" t="str">
        <f>"132821195608222912"</f>
        <v>132821195608222912</v>
      </c>
      <c r="P323" s="23" t="s">
        <v>1011</v>
      </c>
      <c r="Q323" s="23">
        <v>45090</v>
      </c>
      <c r="R323" s="32">
        <v>45456</v>
      </c>
      <c r="V323" s="33">
        <v>50</v>
      </c>
      <c r="W323" s="28">
        <v>64.29</v>
      </c>
      <c r="X323" s="34" t="s">
        <v>54</v>
      </c>
      <c r="Y323" s="33">
        <v>32.15</v>
      </c>
      <c r="AC323" s="28">
        <v>64.29</v>
      </c>
      <c r="AD323" s="34" t="s">
        <v>54</v>
      </c>
      <c r="AE323" s="33">
        <v>32.15</v>
      </c>
      <c r="AN323" s="7" t="s">
        <v>54</v>
      </c>
      <c r="AO323" s="7" t="s">
        <v>55</v>
      </c>
      <c r="AP323" s="7" t="s">
        <v>56</v>
      </c>
      <c r="AT323" s="47" t="s">
        <v>57</v>
      </c>
      <c r="AU323" s="47" t="s">
        <v>57</v>
      </c>
    </row>
    <row r="324" spans="1:47">
      <c r="A324" s="4" t="s">
        <v>48</v>
      </c>
      <c r="C324" s="21"/>
      <c r="D324" s="22" t="s">
        <v>49</v>
      </c>
      <c r="G324" s="23">
        <v>45089</v>
      </c>
      <c r="H324" s="24" t="s">
        <v>1012</v>
      </c>
      <c r="J324" s="28" t="s">
        <v>51</v>
      </c>
      <c r="L324" s="24" t="s">
        <v>1013</v>
      </c>
      <c r="M324" s="1" t="str">
        <f>"232303198409291218"</f>
        <v>232303198409291218</v>
      </c>
      <c r="N324" s="24" t="s">
        <v>1013</v>
      </c>
      <c r="O324" s="1" t="str">
        <f>"232303198409291218"</f>
        <v>232303198409291218</v>
      </c>
      <c r="P324" s="23" t="s">
        <v>1014</v>
      </c>
      <c r="Q324" s="23">
        <v>45090</v>
      </c>
      <c r="R324" s="32">
        <v>45456</v>
      </c>
      <c r="V324" s="33">
        <v>50</v>
      </c>
      <c r="W324" s="28">
        <v>64.29</v>
      </c>
      <c r="X324" s="34" t="s">
        <v>54</v>
      </c>
      <c r="Y324" s="33">
        <v>32.15</v>
      </c>
      <c r="AC324" s="28">
        <v>64.29</v>
      </c>
      <c r="AD324" s="34" t="s">
        <v>54</v>
      </c>
      <c r="AE324" s="33">
        <v>32.15</v>
      </c>
      <c r="AN324" s="7" t="s">
        <v>54</v>
      </c>
      <c r="AO324" s="7" t="s">
        <v>55</v>
      </c>
      <c r="AP324" s="7" t="s">
        <v>56</v>
      </c>
      <c r="AT324" s="47" t="s">
        <v>57</v>
      </c>
      <c r="AU324" s="47" t="s">
        <v>57</v>
      </c>
    </row>
    <row r="325" spans="1:47">
      <c r="A325" s="4" t="s">
        <v>48</v>
      </c>
      <c r="C325" s="21"/>
      <c r="D325" s="22" t="s">
        <v>49</v>
      </c>
      <c r="G325" s="23">
        <v>45088</v>
      </c>
      <c r="H325" s="24" t="s">
        <v>1015</v>
      </c>
      <c r="J325" s="28" t="s">
        <v>51</v>
      </c>
      <c r="L325" s="24" t="s">
        <v>1016</v>
      </c>
      <c r="M325" s="1" t="str">
        <f>"132821195912137827"</f>
        <v>132821195912137827</v>
      </c>
      <c r="N325" s="24" t="s">
        <v>1016</v>
      </c>
      <c r="O325" s="1" t="str">
        <f>"132821195912137827"</f>
        <v>132821195912137827</v>
      </c>
      <c r="P325" s="23" t="s">
        <v>1017</v>
      </c>
      <c r="Q325" s="23">
        <v>45089</v>
      </c>
      <c r="R325" s="32">
        <v>45455</v>
      </c>
      <c r="V325" s="33">
        <v>50</v>
      </c>
      <c r="W325" s="28">
        <v>64.29</v>
      </c>
      <c r="X325" s="34" t="s">
        <v>54</v>
      </c>
      <c r="Y325" s="33">
        <v>32.15</v>
      </c>
      <c r="AC325" s="28">
        <v>64.29</v>
      </c>
      <c r="AD325" s="34" t="s">
        <v>54</v>
      </c>
      <c r="AE325" s="33">
        <v>32.15</v>
      </c>
      <c r="AN325" s="7" t="s">
        <v>54</v>
      </c>
      <c r="AO325" s="7" t="s">
        <v>55</v>
      </c>
      <c r="AP325" s="7" t="s">
        <v>56</v>
      </c>
      <c r="AT325" s="47" t="s">
        <v>57</v>
      </c>
      <c r="AU325" s="47" t="s">
        <v>57</v>
      </c>
    </row>
    <row r="326" spans="1:47">
      <c r="A326" s="4" t="s">
        <v>48</v>
      </c>
      <c r="C326" s="21"/>
      <c r="D326" s="22" t="s">
        <v>49</v>
      </c>
      <c r="G326" s="23">
        <v>45089</v>
      </c>
      <c r="H326" s="24" t="s">
        <v>1018</v>
      </c>
      <c r="J326" s="28" t="s">
        <v>51</v>
      </c>
      <c r="L326" s="24" t="s">
        <v>1019</v>
      </c>
      <c r="M326" s="1" t="str">
        <f>"131082196702250277"</f>
        <v>131082196702250277</v>
      </c>
      <c r="N326" s="24" t="s">
        <v>1019</v>
      </c>
      <c r="O326" s="1" t="str">
        <f>"131082196702250277"</f>
        <v>131082196702250277</v>
      </c>
      <c r="P326" s="23" t="s">
        <v>1020</v>
      </c>
      <c r="Q326" s="23">
        <v>45090</v>
      </c>
      <c r="R326" s="32">
        <v>45456</v>
      </c>
      <c r="V326" s="33">
        <v>50</v>
      </c>
      <c r="W326" s="28">
        <v>64.29</v>
      </c>
      <c r="X326" s="34" t="s">
        <v>54</v>
      </c>
      <c r="Y326" s="33">
        <v>32.15</v>
      </c>
      <c r="AC326" s="28">
        <v>64.29</v>
      </c>
      <c r="AD326" s="34" t="s">
        <v>54</v>
      </c>
      <c r="AE326" s="33">
        <v>32.15</v>
      </c>
      <c r="AN326" s="7" t="s">
        <v>54</v>
      </c>
      <c r="AO326" s="7" t="s">
        <v>55</v>
      </c>
      <c r="AP326" s="7" t="s">
        <v>56</v>
      </c>
      <c r="AT326" s="47" t="s">
        <v>57</v>
      </c>
      <c r="AU326" s="47" t="s">
        <v>57</v>
      </c>
    </row>
    <row r="327" spans="1:47">
      <c r="A327" s="4" t="s">
        <v>48</v>
      </c>
      <c r="C327" s="21"/>
      <c r="D327" s="22" t="s">
        <v>49</v>
      </c>
      <c r="G327" s="23">
        <v>45102</v>
      </c>
      <c r="H327" s="24" t="s">
        <v>1021</v>
      </c>
      <c r="J327" s="28" t="s">
        <v>51</v>
      </c>
      <c r="L327" s="24" t="s">
        <v>1022</v>
      </c>
      <c r="M327" s="1" t="str">
        <f>"131082197111057517"</f>
        <v>131082197111057517</v>
      </c>
      <c r="N327" s="24" t="s">
        <v>1022</v>
      </c>
      <c r="O327" s="1" t="str">
        <f>"131082197111057517"</f>
        <v>131082197111057517</v>
      </c>
      <c r="P327" s="23" t="s">
        <v>1023</v>
      </c>
      <c r="Q327" s="23">
        <v>45103</v>
      </c>
      <c r="R327" s="32">
        <v>45469</v>
      </c>
      <c r="V327" s="33">
        <v>100</v>
      </c>
      <c r="W327" s="28">
        <v>64.29</v>
      </c>
      <c r="X327" s="34" t="s">
        <v>54</v>
      </c>
      <c r="Y327" s="33">
        <v>64.29</v>
      </c>
      <c r="AC327" s="28">
        <v>64.29</v>
      </c>
      <c r="AD327" s="34" t="s">
        <v>54</v>
      </c>
      <c r="AE327" s="33">
        <v>64.29</v>
      </c>
      <c r="AN327" s="7" t="s">
        <v>54</v>
      </c>
      <c r="AO327" s="7" t="s">
        <v>55</v>
      </c>
      <c r="AP327" s="7" t="s">
        <v>56</v>
      </c>
      <c r="AT327" s="47" t="s">
        <v>57</v>
      </c>
      <c r="AU327" s="47" t="s">
        <v>57</v>
      </c>
    </row>
    <row r="328" spans="1:47">
      <c r="A328" s="4" t="s">
        <v>48</v>
      </c>
      <c r="C328" s="21"/>
      <c r="D328" s="22" t="s">
        <v>49</v>
      </c>
      <c r="G328" s="23">
        <v>45098</v>
      </c>
      <c r="H328" s="24" t="s">
        <v>1024</v>
      </c>
      <c r="J328" s="28" t="s">
        <v>51</v>
      </c>
      <c r="L328" s="24" t="s">
        <v>1025</v>
      </c>
      <c r="M328" s="1" t="str">
        <f>"130923198312012668"</f>
        <v>130923198312012668</v>
      </c>
      <c r="N328" s="24" t="s">
        <v>1025</v>
      </c>
      <c r="O328" s="1" t="str">
        <f>"130923198312012668"</f>
        <v>130923198312012668</v>
      </c>
      <c r="P328" s="23" t="s">
        <v>1026</v>
      </c>
      <c r="Q328" s="23">
        <v>45099</v>
      </c>
      <c r="R328" s="32">
        <v>45465</v>
      </c>
      <c r="V328" s="33">
        <v>100</v>
      </c>
      <c r="W328" s="28">
        <v>64.29</v>
      </c>
      <c r="X328" s="34" t="s">
        <v>54</v>
      </c>
      <c r="Y328" s="33">
        <v>64.29</v>
      </c>
      <c r="AC328" s="28">
        <v>64.29</v>
      </c>
      <c r="AD328" s="34" t="s">
        <v>54</v>
      </c>
      <c r="AE328" s="33">
        <v>64.29</v>
      </c>
      <c r="AN328" s="7" t="s">
        <v>54</v>
      </c>
      <c r="AO328" s="7" t="s">
        <v>55</v>
      </c>
      <c r="AP328" s="7" t="s">
        <v>56</v>
      </c>
      <c r="AT328" s="47" t="s">
        <v>57</v>
      </c>
      <c r="AU328" s="47" t="s">
        <v>57</v>
      </c>
    </row>
    <row r="329" spans="1:47">
      <c r="A329" s="4" t="s">
        <v>48</v>
      </c>
      <c r="C329" s="21"/>
      <c r="D329" s="22" t="s">
        <v>49</v>
      </c>
      <c r="G329" s="23">
        <v>45099</v>
      </c>
      <c r="H329" s="24" t="s">
        <v>1027</v>
      </c>
      <c r="J329" s="28" t="s">
        <v>51</v>
      </c>
      <c r="L329" s="24" t="s">
        <v>1028</v>
      </c>
      <c r="M329" s="1" t="str">
        <f>"110224196902210029"</f>
        <v>110224196902210029</v>
      </c>
      <c r="N329" s="24" t="s">
        <v>1028</v>
      </c>
      <c r="O329" s="1" t="str">
        <f>"110224196902210029"</f>
        <v>110224196902210029</v>
      </c>
      <c r="P329" s="23" t="s">
        <v>1029</v>
      </c>
      <c r="Q329" s="23">
        <v>45100</v>
      </c>
      <c r="R329" s="32">
        <v>45466</v>
      </c>
      <c r="V329" s="33">
        <v>100</v>
      </c>
      <c r="W329" s="28">
        <v>64.29</v>
      </c>
      <c r="X329" s="34" t="s">
        <v>54</v>
      </c>
      <c r="Y329" s="33">
        <v>64.29</v>
      </c>
      <c r="AC329" s="28">
        <v>64.29</v>
      </c>
      <c r="AD329" s="34" t="s">
        <v>54</v>
      </c>
      <c r="AE329" s="33">
        <v>64.29</v>
      </c>
      <c r="AN329" s="7" t="s">
        <v>54</v>
      </c>
      <c r="AO329" s="7" t="s">
        <v>55</v>
      </c>
      <c r="AP329" s="7" t="s">
        <v>56</v>
      </c>
      <c r="AT329" s="47" t="s">
        <v>57</v>
      </c>
      <c r="AU329" s="47" t="s">
        <v>57</v>
      </c>
    </row>
    <row r="330" spans="1:47">
      <c r="A330" s="4" t="s">
        <v>48</v>
      </c>
      <c r="C330" s="21"/>
      <c r="D330" s="22" t="s">
        <v>49</v>
      </c>
      <c r="G330" s="23">
        <v>45098</v>
      </c>
      <c r="H330" s="24" t="s">
        <v>1030</v>
      </c>
      <c r="J330" s="28" t="s">
        <v>51</v>
      </c>
      <c r="L330" s="24" t="s">
        <v>1031</v>
      </c>
      <c r="M330" s="1" t="str">
        <f>"13108219710130027X"</f>
        <v>13108219710130027X</v>
      </c>
      <c r="N330" s="24" t="s">
        <v>1031</v>
      </c>
      <c r="O330" s="1" t="str">
        <f>"13108219710130027X"</f>
        <v>13108219710130027X</v>
      </c>
      <c r="P330" s="23" t="s">
        <v>1032</v>
      </c>
      <c r="Q330" s="23">
        <v>45221</v>
      </c>
      <c r="R330" s="32">
        <v>45587</v>
      </c>
      <c r="V330" s="33">
        <v>100</v>
      </c>
      <c r="W330" s="28">
        <v>64.29</v>
      </c>
      <c r="X330" s="34" t="s">
        <v>54</v>
      </c>
      <c r="Y330" s="33">
        <v>64.29</v>
      </c>
      <c r="AC330" s="28">
        <v>64.29</v>
      </c>
      <c r="AD330" s="34" t="s">
        <v>54</v>
      </c>
      <c r="AE330" s="33">
        <v>64.29</v>
      </c>
      <c r="AN330" s="7" t="s">
        <v>54</v>
      </c>
      <c r="AO330" s="7" t="s">
        <v>55</v>
      </c>
      <c r="AP330" s="7" t="s">
        <v>56</v>
      </c>
      <c r="AT330" s="47" t="s">
        <v>57</v>
      </c>
      <c r="AU330" s="47" t="s">
        <v>57</v>
      </c>
    </row>
    <row r="331" spans="1:47">
      <c r="A331" s="4" t="s">
        <v>48</v>
      </c>
      <c r="C331" s="21"/>
      <c r="D331" s="22" t="s">
        <v>49</v>
      </c>
      <c r="G331" s="23">
        <v>45096</v>
      </c>
      <c r="H331" s="24" t="s">
        <v>1033</v>
      </c>
      <c r="J331" s="28" t="s">
        <v>51</v>
      </c>
      <c r="L331" s="24" t="s">
        <v>1034</v>
      </c>
      <c r="M331" s="1" t="str">
        <f>"131028198504142022"</f>
        <v>131028198504142022</v>
      </c>
      <c r="N331" s="24" t="s">
        <v>1034</v>
      </c>
      <c r="O331" s="1" t="str">
        <f>"131028198504142022"</f>
        <v>131028198504142022</v>
      </c>
      <c r="P331" s="23" t="s">
        <v>1035</v>
      </c>
      <c r="Q331" s="23">
        <v>45097</v>
      </c>
      <c r="R331" s="32">
        <v>45463</v>
      </c>
      <c r="V331" s="33">
        <v>100</v>
      </c>
      <c r="W331" s="28">
        <v>64.29</v>
      </c>
      <c r="X331" s="34" t="s">
        <v>54</v>
      </c>
      <c r="Y331" s="33">
        <v>64.29</v>
      </c>
      <c r="AC331" s="28">
        <v>64.29</v>
      </c>
      <c r="AD331" s="34" t="s">
        <v>54</v>
      </c>
      <c r="AE331" s="33">
        <v>64.29</v>
      </c>
      <c r="AN331" s="7" t="s">
        <v>54</v>
      </c>
      <c r="AO331" s="7" t="s">
        <v>55</v>
      </c>
      <c r="AP331" s="7" t="s">
        <v>56</v>
      </c>
      <c r="AT331" s="47" t="s">
        <v>57</v>
      </c>
      <c r="AU331" s="47" t="s">
        <v>57</v>
      </c>
    </row>
    <row r="332" spans="1:47">
      <c r="A332" s="4" t="s">
        <v>48</v>
      </c>
      <c r="C332" s="21"/>
      <c r="D332" s="22" t="s">
        <v>49</v>
      </c>
      <c r="G332" s="23">
        <v>45096</v>
      </c>
      <c r="H332" s="24" t="s">
        <v>1036</v>
      </c>
      <c r="J332" s="28" t="s">
        <v>51</v>
      </c>
      <c r="L332" s="24" t="s">
        <v>1037</v>
      </c>
      <c r="M332" s="1" t="str">
        <f>"131082198312064531"</f>
        <v>131082198312064531</v>
      </c>
      <c r="N332" s="24" t="s">
        <v>1037</v>
      </c>
      <c r="O332" s="1" t="str">
        <f>"131082198312064531"</f>
        <v>131082198312064531</v>
      </c>
      <c r="P332" s="23" t="s">
        <v>1038</v>
      </c>
      <c r="Q332" s="23">
        <v>45200</v>
      </c>
      <c r="R332" s="32">
        <v>45566</v>
      </c>
      <c r="V332" s="33">
        <v>100</v>
      </c>
      <c r="W332" s="28">
        <v>64.29</v>
      </c>
      <c r="X332" s="34" t="s">
        <v>54</v>
      </c>
      <c r="Y332" s="33">
        <v>64.29</v>
      </c>
      <c r="AC332" s="28">
        <v>64.29</v>
      </c>
      <c r="AD332" s="34" t="s">
        <v>54</v>
      </c>
      <c r="AE332" s="33">
        <v>64.29</v>
      </c>
      <c r="AN332" s="7" t="s">
        <v>54</v>
      </c>
      <c r="AO332" s="7" t="s">
        <v>55</v>
      </c>
      <c r="AP332" s="7" t="s">
        <v>56</v>
      </c>
      <c r="AT332" s="47" t="s">
        <v>57</v>
      </c>
      <c r="AU332" s="47" t="s">
        <v>57</v>
      </c>
    </row>
    <row r="333" spans="1:47">
      <c r="A333" s="4" t="s">
        <v>48</v>
      </c>
      <c r="C333" s="21"/>
      <c r="D333" s="22" t="s">
        <v>49</v>
      </c>
      <c r="G333" s="23">
        <v>45096</v>
      </c>
      <c r="H333" s="24" t="s">
        <v>1039</v>
      </c>
      <c r="J333" s="28" t="s">
        <v>51</v>
      </c>
      <c r="L333" s="24" t="s">
        <v>1040</v>
      </c>
      <c r="M333" s="1" t="str">
        <f>"220422198307195322"</f>
        <v>220422198307195322</v>
      </c>
      <c r="N333" s="24" t="s">
        <v>1040</v>
      </c>
      <c r="O333" s="1" t="str">
        <f>"220422198307195322"</f>
        <v>220422198307195322</v>
      </c>
      <c r="P333" s="23" t="s">
        <v>1041</v>
      </c>
      <c r="Q333" s="23">
        <v>45219</v>
      </c>
      <c r="R333" s="32">
        <v>45585</v>
      </c>
      <c r="V333" s="33">
        <v>100</v>
      </c>
      <c r="W333" s="28">
        <v>64.29</v>
      </c>
      <c r="X333" s="34" t="s">
        <v>54</v>
      </c>
      <c r="Y333" s="33">
        <v>64.29</v>
      </c>
      <c r="AC333" s="28">
        <v>64.29</v>
      </c>
      <c r="AD333" s="34" t="s">
        <v>54</v>
      </c>
      <c r="AE333" s="33">
        <v>64.29</v>
      </c>
      <c r="AN333" s="7" t="s">
        <v>54</v>
      </c>
      <c r="AO333" s="7" t="s">
        <v>55</v>
      </c>
      <c r="AP333" s="7" t="s">
        <v>56</v>
      </c>
      <c r="AT333" s="47" t="s">
        <v>57</v>
      </c>
      <c r="AU333" s="47" t="s">
        <v>57</v>
      </c>
    </row>
    <row r="334" spans="1:47">
      <c r="A334" s="4" t="s">
        <v>48</v>
      </c>
      <c r="C334" s="21"/>
      <c r="D334" s="22" t="s">
        <v>49</v>
      </c>
      <c r="G334" s="23">
        <v>45090</v>
      </c>
      <c r="H334" s="24" t="s">
        <v>1042</v>
      </c>
      <c r="J334" s="28" t="s">
        <v>51</v>
      </c>
      <c r="L334" s="24" t="s">
        <v>750</v>
      </c>
      <c r="M334" s="1" t="str">
        <f>"131082198410145845"</f>
        <v>131082198410145845</v>
      </c>
      <c r="N334" s="24" t="s">
        <v>750</v>
      </c>
      <c r="O334" s="1" t="str">
        <f>"131082198410145845"</f>
        <v>131082198410145845</v>
      </c>
      <c r="P334" s="23" t="s">
        <v>1043</v>
      </c>
      <c r="Q334" s="23">
        <v>45276</v>
      </c>
      <c r="R334" s="32">
        <v>45642</v>
      </c>
      <c r="V334" s="33">
        <v>100</v>
      </c>
      <c r="W334" s="28">
        <v>64.29</v>
      </c>
      <c r="X334" s="34" t="s">
        <v>54</v>
      </c>
      <c r="Y334" s="33">
        <v>64.29</v>
      </c>
      <c r="AC334" s="28">
        <v>64.29</v>
      </c>
      <c r="AD334" s="34" t="s">
        <v>54</v>
      </c>
      <c r="AE334" s="33">
        <v>64.29</v>
      </c>
      <c r="AN334" s="7" t="s">
        <v>54</v>
      </c>
      <c r="AO334" s="7" t="s">
        <v>55</v>
      </c>
      <c r="AP334" s="7" t="s">
        <v>56</v>
      </c>
      <c r="AT334" s="47" t="s">
        <v>57</v>
      </c>
      <c r="AU334" s="47" t="s">
        <v>57</v>
      </c>
    </row>
    <row r="335" spans="1:47">
      <c r="A335" s="4" t="s">
        <v>48</v>
      </c>
      <c r="C335" s="21"/>
      <c r="D335" s="22" t="s">
        <v>49</v>
      </c>
      <c r="G335" s="23">
        <v>45089</v>
      </c>
      <c r="H335" s="24" t="s">
        <v>1044</v>
      </c>
      <c r="J335" s="28" t="s">
        <v>51</v>
      </c>
      <c r="L335" s="24" t="s">
        <v>1045</v>
      </c>
      <c r="M335" s="1" t="str">
        <f>"132425196809160023"</f>
        <v>132425196809160023</v>
      </c>
      <c r="N335" s="24" t="s">
        <v>1045</v>
      </c>
      <c r="O335" s="1" t="str">
        <f>"132425196809160023"</f>
        <v>132425196809160023</v>
      </c>
      <c r="P335" s="23" t="s">
        <v>1046</v>
      </c>
      <c r="Q335" s="23">
        <v>45212</v>
      </c>
      <c r="R335" s="32">
        <v>45578</v>
      </c>
      <c r="V335" s="33">
        <v>100</v>
      </c>
      <c r="W335" s="28">
        <v>64.29</v>
      </c>
      <c r="X335" s="34" t="s">
        <v>54</v>
      </c>
      <c r="Y335" s="33">
        <v>64.29</v>
      </c>
      <c r="AC335" s="28">
        <v>64.29</v>
      </c>
      <c r="AD335" s="34" t="s">
        <v>54</v>
      </c>
      <c r="AE335" s="33">
        <v>64.29</v>
      </c>
      <c r="AN335" s="7" t="s">
        <v>54</v>
      </c>
      <c r="AO335" s="7" t="s">
        <v>55</v>
      </c>
      <c r="AP335" s="7" t="s">
        <v>56</v>
      </c>
      <c r="AT335" s="47" t="s">
        <v>57</v>
      </c>
      <c r="AU335" s="47" t="s">
        <v>57</v>
      </c>
    </row>
    <row r="336" spans="1:47">
      <c r="A336" s="4" t="s">
        <v>48</v>
      </c>
      <c r="C336" s="21"/>
      <c r="D336" s="22" t="s">
        <v>49</v>
      </c>
      <c r="G336" s="23">
        <v>45090</v>
      </c>
      <c r="H336" s="24" t="s">
        <v>1047</v>
      </c>
      <c r="J336" s="28" t="s">
        <v>51</v>
      </c>
      <c r="L336" s="24" t="s">
        <v>1048</v>
      </c>
      <c r="M336" s="1" t="str">
        <f>"131082197903150517"</f>
        <v>131082197903150517</v>
      </c>
      <c r="N336" s="24" t="s">
        <v>1048</v>
      </c>
      <c r="O336" s="1" t="str">
        <f>"131082197903150517"</f>
        <v>131082197903150517</v>
      </c>
      <c r="P336" s="23" t="s">
        <v>1049</v>
      </c>
      <c r="Q336" s="23">
        <v>45091</v>
      </c>
      <c r="R336" s="32">
        <v>45457</v>
      </c>
      <c r="V336" s="33">
        <v>100</v>
      </c>
      <c r="W336" s="28">
        <v>64.29</v>
      </c>
      <c r="X336" s="34" t="s">
        <v>54</v>
      </c>
      <c r="Y336" s="33">
        <v>64.29</v>
      </c>
      <c r="AC336" s="28">
        <v>64.29</v>
      </c>
      <c r="AD336" s="34" t="s">
        <v>54</v>
      </c>
      <c r="AE336" s="33">
        <v>64.29</v>
      </c>
      <c r="AN336" s="7" t="s">
        <v>54</v>
      </c>
      <c r="AO336" s="7" t="s">
        <v>55</v>
      </c>
      <c r="AP336" s="7" t="s">
        <v>56</v>
      </c>
      <c r="AT336" s="47" t="s">
        <v>57</v>
      </c>
      <c r="AU336" s="47" t="s">
        <v>57</v>
      </c>
    </row>
    <row r="337" spans="1:47">
      <c r="A337" s="4" t="s">
        <v>48</v>
      </c>
      <c r="C337" s="21"/>
      <c r="D337" s="22" t="s">
        <v>49</v>
      </c>
      <c r="G337" s="23">
        <v>45088</v>
      </c>
      <c r="H337" s="24" t="s">
        <v>1050</v>
      </c>
      <c r="J337" s="28" t="s">
        <v>51</v>
      </c>
      <c r="L337" s="24" t="s">
        <v>1051</v>
      </c>
      <c r="M337" s="1" t="str">
        <f>"130634198909112736"</f>
        <v>130634198909112736</v>
      </c>
      <c r="N337" s="24" t="s">
        <v>1051</v>
      </c>
      <c r="O337" s="1" t="str">
        <f>"130634198909112736"</f>
        <v>130634198909112736</v>
      </c>
      <c r="P337" s="23" t="s">
        <v>1052</v>
      </c>
      <c r="Q337" s="23">
        <v>45291</v>
      </c>
      <c r="R337" s="32">
        <v>45657</v>
      </c>
      <c r="V337" s="33">
        <v>100</v>
      </c>
      <c r="W337" s="28">
        <v>64.29</v>
      </c>
      <c r="X337" s="34" t="s">
        <v>54</v>
      </c>
      <c r="Y337" s="33">
        <v>64.29</v>
      </c>
      <c r="AC337" s="28">
        <v>64.29</v>
      </c>
      <c r="AD337" s="34" t="s">
        <v>54</v>
      </c>
      <c r="AE337" s="33">
        <v>64.29</v>
      </c>
      <c r="AN337" s="7" t="s">
        <v>54</v>
      </c>
      <c r="AO337" s="7" t="s">
        <v>55</v>
      </c>
      <c r="AP337" s="7" t="s">
        <v>56</v>
      </c>
      <c r="AT337" s="47" t="s">
        <v>57</v>
      </c>
      <c r="AU337" s="47" t="s">
        <v>57</v>
      </c>
    </row>
    <row r="338" spans="1:47">
      <c r="A338" s="4" t="s">
        <v>48</v>
      </c>
      <c r="C338" s="21"/>
      <c r="D338" s="22" t="s">
        <v>49</v>
      </c>
      <c r="G338" s="23">
        <v>45089</v>
      </c>
      <c r="H338" s="24" t="s">
        <v>1053</v>
      </c>
      <c r="J338" s="28" t="s">
        <v>51</v>
      </c>
      <c r="L338" s="24" t="s">
        <v>1054</v>
      </c>
      <c r="M338" s="1" t="str">
        <f>"131082198704291012"</f>
        <v>131082198704291012</v>
      </c>
      <c r="N338" s="24" t="s">
        <v>1054</v>
      </c>
      <c r="O338" s="1" t="str">
        <f>"131082198704291012"</f>
        <v>131082198704291012</v>
      </c>
      <c r="P338" s="23" t="s">
        <v>1055</v>
      </c>
      <c r="Q338" s="23">
        <v>45212</v>
      </c>
      <c r="R338" s="32">
        <v>45578</v>
      </c>
      <c r="V338" s="33">
        <v>100</v>
      </c>
      <c r="W338" s="28">
        <v>64.29</v>
      </c>
      <c r="X338" s="34" t="s">
        <v>54</v>
      </c>
      <c r="Y338" s="33">
        <v>64.29</v>
      </c>
      <c r="AC338" s="28">
        <v>64.29</v>
      </c>
      <c r="AD338" s="34" t="s">
        <v>54</v>
      </c>
      <c r="AE338" s="33">
        <v>64.29</v>
      </c>
      <c r="AN338" s="7" t="s">
        <v>54</v>
      </c>
      <c r="AO338" s="7" t="s">
        <v>55</v>
      </c>
      <c r="AP338" s="7" t="s">
        <v>56</v>
      </c>
      <c r="AT338" s="47" t="s">
        <v>57</v>
      </c>
      <c r="AU338" s="47" t="s">
        <v>57</v>
      </c>
    </row>
    <row r="339" spans="1:47">
      <c r="A339" s="4" t="s">
        <v>48</v>
      </c>
      <c r="C339" s="21"/>
      <c r="D339" s="22" t="s">
        <v>49</v>
      </c>
      <c r="G339" s="23">
        <v>45090</v>
      </c>
      <c r="H339" s="24" t="s">
        <v>1056</v>
      </c>
      <c r="J339" s="28" t="s">
        <v>51</v>
      </c>
      <c r="L339" s="24" t="s">
        <v>1057</v>
      </c>
      <c r="M339" s="1" t="str">
        <f>"110223196608256062"</f>
        <v>110223196608256062</v>
      </c>
      <c r="N339" s="24" t="s">
        <v>1057</v>
      </c>
      <c r="O339" s="1" t="str">
        <f>"110223196608256062"</f>
        <v>110223196608256062</v>
      </c>
      <c r="P339" s="23" t="s">
        <v>1058</v>
      </c>
      <c r="Q339" s="23">
        <v>45091</v>
      </c>
      <c r="R339" s="32">
        <v>45457</v>
      </c>
      <c r="V339" s="33">
        <v>100</v>
      </c>
      <c r="W339" s="28">
        <v>64.29</v>
      </c>
      <c r="X339" s="34" t="s">
        <v>54</v>
      </c>
      <c r="Y339" s="33">
        <v>64.29</v>
      </c>
      <c r="AC339" s="28">
        <v>64.29</v>
      </c>
      <c r="AD339" s="34" t="s">
        <v>54</v>
      </c>
      <c r="AE339" s="33">
        <v>64.29</v>
      </c>
      <c r="AN339" s="7" t="s">
        <v>54</v>
      </c>
      <c r="AO339" s="7" t="s">
        <v>55</v>
      </c>
      <c r="AP339" s="7" t="s">
        <v>56</v>
      </c>
      <c r="AT339" s="47" t="s">
        <v>57</v>
      </c>
      <c r="AU339" s="47" t="s">
        <v>57</v>
      </c>
    </row>
    <row r="340" spans="1:47">
      <c r="A340" s="4" t="s">
        <v>48</v>
      </c>
      <c r="C340" s="21"/>
      <c r="D340" s="22" t="s">
        <v>49</v>
      </c>
      <c r="G340" s="23">
        <v>45090</v>
      </c>
      <c r="H340" s="24" t="s">
        <v>1059</v>
      </c>
      <c r="J340" s="28" t="s">
        <v>51</v>
      </c>
      <c r="L340" s="24" t="s">
        <v>1060</v>
      </c>
      <c r="M340" s="1" t="str">
        <f>"130638197410193523"</f>
        <v>130638197410193523</v>
      </c>
      <c r="N340" s="24" t="s">
        <v>1060</v>
      </c>
      <c r="O340" s="1" t="str">
        <f>"130638197410193523"</f>
        <v>130638197410193523</v>
      </c>
      <c r="P340" s="23" t="s">
        <v>1061</v>
      </c>
      <c r="Q340" s="23">
        <v>45091</v>
      </c>
      <c r="R340" s="32">
        <v>45457</v>
      </c>
      <c r="V340" s="33">
        <v>100</v>
      </c>
      <c r="W340" s="28">
        <v>64.29</v>
      </c>
      <c r="X340" s="34" t="s">
        <v>54</v>
      </c>
      <c r="Y340" s="33">
        <v>64.29</v>
      </c>
      <c r="AC340" s="28">
        <v>64.29</v>
      </c>
      <c r="AD340" s="34" t="s">
        <v>54</v>
      </c>
      <c r="AE340" s="33">
        <v>64.29</v>
      </c>
      <c r="AN340" s="7" t="s">
        <v>54</v>
      </c>
      <c r="AO340" s="7" t="s">
        <v>55</v>
      </c>
      <c r="AP340" s="7" t="s">
        <v>56</v>
      </c>
      <c r="AT340" s="47" t="s">
        <v>57</v>
      </c>
      <c r="AU340" s="47" t="s">
        <v>57</v>
      </c>
    </row>
    <row r="341" spans="1:47">
      <c r="A341" s="4" t="s">
        <v>48</v>
      </c>
      <c r="C341" s="21"/>
      <c r="D341" s="22" t="s">
        <v>49</v>
      </c>
      <c r="G341" s="23">
        <v>45090</v>
      </c>
      <c r="H341" s="24" t="s">
        <v>1062</v>
      </c>
      <c r="J341" s="28" t="s">
        <v>51</v>
      </c>
      <c r="L341" s="24" t="s">
        <v>1063</v>
      </c>
      <c r="M341" s="1" t="str">
        <f>"230281199508284212"</f>
        <v>230281199508284212</v>
      </c>
      <c r="N341" s="24" t="s">
        <v>1063</v>
      </c>
      <c r="O341" s="1" t="str">
        <f>"230281199508284212"</f>
        <v>230281199508284212</v>
      </c>
      <c r="P341" s="23" t="s">
        <v>1064</v>
      </c>
      <c r="Q341" s="23">
        <v>45091</v>
      </c>
      <c r="R341" s="32">
        <v>45457</v>
      </c>
      <c r="V341" s="33">
        <v>100</v>
      </c>
      <c r="W341" s="28">
        <v>64.29</v>
      </c>
      <c r="X341" s="34" t="s">
        <v>54</v>
      </c>
      <c r="Y341" s="33">
        <v>64.29</v>
      </c>
      <c r="AC341" s="28">
        <v>64.29</v>
      </c>
      <c r="AD341" s="34" t="s">
        <v>54</v>
      </c>
      <c r="AE341" s="33">
        <v>64.29</v>
      </c>
      <c r="AN341" s="7" t="s">
        <v>54</v>
      </c>
      <c r="AO341" s="7" t="s">
        <v>55</v>
      </c>
      <c r="AP341" s="7" t="s">
        <v>56</v>
      </c>
      <c r="AT341" s="47" t="s">
        <v>57</v>
      </c>
      <c r="AU341" s="47" t="s">
        <v>57</v>
      </c>
    </row>
    <row r="342" spans="1:47">
      <c r="A342" s="4" t="s">
        <v>48</v>
      </c>
      <c r="C342" s="21"/>
      <c r="D342" s="22" t="s">
        <v>49</v>
      </c>
      <c r="G342" s="23">
        <v>45076</v>
      </c>
      <c r="H342" s="24" t="s">
        <v>1065</v>
      </c>
      <c r="J342" s="28" t="s">
        <v>51</v>
      </c>
      <c r="L342" s="24" t="s">
        <v>1066</v>
      </c>
      <c r="M342" s="1" t="str">
        <f>"13108219511008029X"</f>
        <v>13108219511008029X</v>
      </c>
      <c r="N342" s="24" t="s">
        <v>1066</v>
      </c>
      <c r="O342" s="1" t="str">
        <f>"13108219511008029X"</f>
        <v>13108219511008029X</v>
      </c>
      <c r="P342" s="23" t="s">
        <v>1067</v>
      </c>
      <c r="Q342" s="23">
        <v>45108</v>
      </c>
      <c r="R342" s="32">
        <v>45474</v>
      </c>
      <c r="V342" s="33">
        <v>100</v>
      </c>
      <c r="W342" s="28">
        <v>64.29</v>
      </c>
      <c r="X342" s="34" t="s">
        <v>54</v>
      </c>
      <c r="Y342" s="33">
        <v>64.29</v>
      </c>
      <c r="AC342" s="28">
        <v>64.29</v>
      </c>
      <c r="AD342" s="34" t="s">
        <v>54</v>
      </c>
      <c r="AE342" s="33">
        <v>64.29</v>
      </c>
      <c r="AN342" s="7" t="s">
        <v>54</v>
      </c>
      <c r="AO342" s="7" t="s">
        <v>55</v>
      </c>
      <c r="AP342" s="7" t="s">
        <v>56</v>
      </c>
      <c r="AT342" s="47" t="s">
        <v>57</v>
      </c>
      <c r="AU342" s="47" t="s">
        <v>57</v>
      </c>
    </row>
    <row r="343" spans="1:47">
      <c r="A343" s="4" t="s">
        <v>48</v>
      </c>
      <c r="C343" s="21"/>
      <c r="D343" s="22" t="s">
        <v>49</v>
      </c>
      <c r="G343" s="23">
        <v>45092</v>
      </c>
      <c r="H343" s="24" t="s">
        <v>1068</v>
      </c>
      <c r="J343" s="28" t="s">
        <v>51</v>
      </c>
      <c r="L343" s="24" t="s">
        <v>1069</v>
      </c>
      <c r="M343" s="1" t="str">
        <f>"131082197107175596"</f>
        <v>131082197107175596</v>
      </c>
      <c r="N343" s="24" t="s">
        <v>1069</v>
      </c>
      <c r="O343" s="1" t="str">
        <f>"131082197107175596"</f>
        <v>131082197107175596</v>
      </c>
      <c r="P343" s="23" t="s">
        <v>1070</v>
      </c>
      <c r="Q343" s="23">
        <v>45093</v>
      </c>
      <c r="R343" s="32">
        <v>45459</v>
      </c>
      <c r="V343" s="33">
        <v>600</v>
      </c>
      <c r="W343" s="28">
        <v>64.29</v>
      </c>
      <c r="X343" s="34" t="s">
        <v>54</v>
      </c>
      <c r="Y343" s="33">
        <v>385.74</v>
      </c>
      <c r="AC343" s="28">
        <v>64.29</v>
      </c>
      <c r="AD343" s="34" t="s">
        <v>54</v>
      </c>
      <c r="AE343" s="33">
        <v>385.74</v>
      </c>
      <c r="AN343" s="7" t="s">
        <v>54</v>
      </c>
      <c r="AO343" s="7" t="s">
        <v>55</v>
      </c>
      <c r="AP343" s="7" t="s">
        <v>56</v>
      </c>
      <c r="AT343" s="47" t="s">
        <v>57</v>
      </c>
      <c r="AU343" s="47" t="s">
        <v>57</v>
      </c>
    </row>
    <row r="344" spans="1:47">
      <c r="A344" s="4" t="s">
        <v>48</v>
      </c>
      <c r="C344" s="21"/>
      <c r="D344" s="22" t="s">
        <v>49</v>
      </c>
      <c r="G344" s="23">
        <v>45091</v>
      </c>
      <c r="H344" s="24" t="s">
        <v>1071</v>
      </c>
      <c r="J344" s="28" t="s">
        <v>51</v>
      </c>
      <c r="L344" s="24" t="s">
        <v>1072</v>
      </c>
      <c r="M344" s="1" t="str">
        <f>"120222195706036056"</f>
        <v>120222195706036056</v>
      </c>
      <c r="N344" s="24" t="s">
        <v>1072</v>
      </c>
      <c r="O344" s="1" t="str">
        <f>"120222195706036056"</f>
        <v>120222195706036056</v>
      </c>
      <c r="P344" s="23" t="s">
        <v>1073</v>
      </c>
      <c r="Q344" s="23">
        <v>45092</v>
      </c>
      <c r="R344" s="32">
        <v>45458</v>
      </c>
      <c r="V344" s="33">
        <v>600</v>
      </c>
      <c r="W344" s="28">
        <v>64.29</v>
      </c>
      <c r="X344" s="34" t="s">
        <v>54</v>
      </c>
      <c r="Y344" s="33">
        <v>385.74</v>
      </c>
      <c r="AC344" s="28">
        <v>64.29</v>
      </c>
      <c r="AD344" s="34" t="s">
        <v>54</v>
      </c>
      <c r="AE344" s="33">
        <v>385.74</v>
      </c>
      <c r="AN344" s="7" t="s">
        <v>54</v>
      </c>
      <c r="AO344" s="7" t="s">
        <v>55</v>
      </c>
      <c r="AP344" s="7" t="s">
        <v>56</v>
      </c>
      <c r="AT344" s="47" t="s">
        <v>57</v>
      </c>
      <c r="AU344" s="47" t="s">
        <v>57</v>
      </c>
    </row>
    <row r="345" spans="1:47">
      <c r="A345" s="4" t="s">
        <v>48</v>
      </c>
      <c r="C345" s="21"/>
      <c r="D345" s="22" t="s">
        <v>49</v>
      </c>
      <c r="G345" s="23">
        <v>45091</v>
      </c>
      <c r="H345" s="24" t="s">
        <v>1074</v>
      </c>
      <c r="J345" s="28" t="s">
        <v>51</v>
      </c>
      <c r="L345" s="24" t="s">
        <v>1075</v>
      </c>
      <c r="M345" s="1" t="str">
        <f>"370502195204024423"</f>
        <v>370502195204024423</v>
      </c>
      <c r="N345" s="24" t="s">
        <v>1075</v>
      </c>
      <c r="O345" s="1" t="str">
        <f>"370502195204024423"</f>
        <v>370502195204024423</v>
      </c>
      <c r="P345" s="23" t="s">
        <v>1076</v>
      </c>
      <c r="Q345" s="23">
        <v>45092</v>
      </c>
      <c r="R345" s="32">
        <v>45458</v>
      </c>
      <c r="V345" s="33">
        <v>600</v>
      </c>
      <c r="W345" s="28">
        <v>64.29</v>
      </c>
      <c r="X345" s="34" t="s">
        <v>54</v>
      </c>
      <c r="Y345" s="33">
        <v>385.74</v>
      </c>
      <c r="AC345" s="28">
        <v>64.29</v>
      </c>
      <c r="AD345" s="34" t="s">
        <v>54</v>
      </c>
      <c r="AE345" s="33">
        <v>385.74</v>
      </c>
      <c r="AN345" s="7" t="s">
        <v>54</v>
      </c>
      <c r="AO345" s="7" t="s">
        <v>55</v>
      </c>
      <c r="AP345" s="7" t="s">
        <v>56</v>
      </c>
      <c r="AT345" s="47" t="s">
        <v>57</v>
      </c>
      <c r="AU345" s="47" t="s">
        <v>57</v>
      </c>
    </row>
    <row r="346" spans="1:47">
      <c r="A346" s="4" t="s">
        <v>48</v>
      </c>
      <c r="C346" s="21"/>
      <c r="D346" s="22" t="s">
        <v>49</v>
      </c>
      <c r="G346" s="23">
        <v>45088</v>
      </c>
      <c r="H346" s="24" t="s">
        <v>1077</v>
      </c>
      <c r="J346" s="28" t="s">
        <v>51</v>
      </c>
      <c r="L346" s="24" t="s">
        <v>1078</v>
      </c>
      <c r="M346" s="1" t="str">
        <f>"131082198612035820"</f>
        <v>131082198612035820</v>
      </c>
      <c r="N346" s="24" t="s">
        <v>1078</v>
      </c>
      <c r="O346" s="1" t="str">
        <f>"131082198612035820"</f>
        <v>131082198612035820</v>
      </c>
      <c r="P346" s="23" t="s">
        <v>1079</v>
      </c>
      <c r="Q346" s="23">
        <v>45089</v>
      </c>
      <c r="R346" s="32">
        <v>45455</v>
      </c>
      <c r="V346" s="33">
        <v>600</v>
      </c>
      <c r="W346" s="28">
        <v>64.29</v>
      </c>
      <c r="X346" s="34" t="s">
        <v>54</v>
      </c>
      <c r="Y346" s="33">
        <v>385.74</v>
      </c>
      <c r="AC346" s="28">
        <v>64.29</v>
      </c>
      <c r="AD346" s="34" t="s">
        <v>54</v>
      </c>
      <c r="AE346" s="33">
        <v>385.74</v>
      </c>
      <c r="AN346" s="7" t="s">
        <v>54</v>
      </c>
      <c r="AO346" s="7" t="s">
        <v>55</v>
      </c>
      <c r="AP346" s="7" t="s">
        <v>56</v>
      </c>
      <c r="AT346" s="47" t="s">
        <v>57</v>
      </c>
      <c r="AU346" s="47" t="s">
        <v>57</v>
      </c>
    </row>
    <row r="347" spans="1:47">
      <c r="A347" s="4" t="s">
        <v>48</v>
      </c>
      <c r="C347" s="21"/>
      <c r="D347" s="22" t="s">
        <v>49</v>
      </c>
      <c r="G347" s="23">
        <v>45088</v>
      </c>
      <c r="H347" s="24" t="s">
        <v>1080</v>
      </c>
      <c r="J347" s="28" t="s">
        <v>51</v>
      </c>
      <c r="L347" s="24" t="s">
        <v>1081</v>
      </c>
      <c r="M347" s="1" t="str">
        <f>"341204197011040823"</f>
        <v>341204197011040823</v>
      </c>
      <c r="N347" s="24" t="s">
        <v>1081</v>
      </c>
      <c r="O347" s="1" t="str">
        <f>"341204197011040823"</f>
        <v>341204197011040823</v>
      </c>
      <c r="P347" s="23" t="s">
        <v>1082</v>
      </c>
      <c r="Q347" s="23">
        <v>45089</v>
      </c>
      <c r="R347" s="32">
        <v>45455</v>
      </c>
      <c r="V347" s="33">
        <v>600</v>
      </c>
      <c r="W347" s="28">
        <v>64.29</v>
      </c>
      <c r="X347" s="34" t="s">
        <v>54</v>
      </c>
      <c r="Y347" s="33">
        <v>385.74</v>
      </c>
      <c r="AC347" s="28">
        <v>64.29</v>
      </c>
      <c r="AD347" s="34" t="s">
        <v>54</v>
      </c>
      <c r="AE347" s="33">
        <v>385.74</v>
      </c>
      <c r="AN347" s="7" t="s">
        <v>54</v>
      </c>
      <c r="AO347" s="7" t="s">
        <v>55</v>
      </c>
      <c r="AP347" s="7" t="s">
        <v>56</v>
      </c>
      <c r="AT347" s="47" t="s">
        <v>57</v>
      </c>
      <c r="AU347" s="47" t="s">
        <v>57</v>
      </c>
    </row>
    <row r="348" spans="1:47">
      <c r="A348" s="4" t="s">
        <v>48</v>
      </c>
      <c r="C348" s="21"/>
      <c r="D348" s="22" t="s">
        <v>49</v>
      </c>
      <c r="G348" s="23">
        <v>45088</v>
      </c>
      <c r="H348" s="24" t="s">
        <v>1083</v>
      </c>
      <c r="J348" s="28" t="s">
        <v>51</v>
      </c>
      <c r="L348" s="24" t="s">
        <v>1084</v>
      </c>
      <c r="M348" s="1" t="str">
        <f>"132826196310310318"</f>
        <v>132826196310310318</v>
      </c>
      <c r="N348" s="24" t="s">
        <v>1084</v>
      </c>
      <c r="O348" s="1" t="str">
        <f>"132826196310310318"</f>
        <v>132826196310310318</v>
      </c>
      <c r="P348" s="23" t="s">
        <v>1085</v>
      </c>
      <c r="Q348" s="23">
        <v>45089</v>
      </c>
      <c r="R348" s="32">
        <v>45455</v>
      </c>
      <c r="V348" s="33">
        <v>600</v>
      </c>
      <c r="W348" s="28">
        <v>64.29</v>
      </c>
      <c r="X348" s="34" t="s">
        <v>54</v>
      </c>
      <c r="Y348" s="33">
        <v>385.74</v>
      </c>
      <c r="AC348" s="28">
        <v>64.29</v>
      </c>
      <c r="AD348" s="34" t="s">
        <v>54</v>
      </c>
      <c r="AE348" s="33">
        <v>385.74</v>
      </c>
      <c r="AN348" s="7" t="s">
        <v>54</v>
      </c>
      <c r="AO348" s="7" t="s">
        <v>55</v>
      </c>
      <c r="AP348" s="7" t="s">
        <v>56</v>
      </c>
      <c r="AT348" s="47" t="s">
        <v>57</v>
      </c>
      <c r="AU348" s="47" t="s">
        <v>57</v>
      </c>
    </row>
    <row r="349" spans="1:47">
      <c r="A349" s="4" t="s">
        <v>48</v>
      </c>
      <c r="C349" s="21"/>
      <c r="D349" s="22" t="s">
        <v>49</v>
      </c>
      <c r="G349" s="23">
        <v>45085</v>
      </c>
      <c r="H349" s="24" t="s">
        <v>1086</v>
      </c>
      <c r="J349" s="28" t="s">
        <v>51</v>
      </c>
      <c r="L349" s="24" t="s">
        <v>1087</v>
      </c>
      <c r="M349" s="1" t="str">
        <f>"341204195002111010"</f>
        <v>341204195002111010</v>
      </c>
      <c r="N349" s="24" t="s">
        <v>1087</v>
      </c>
      <c r="O349" s="1" t="str">
        <f>"341204195002111010"</f>
        <v>341204195002111010</v>
      </c>
      <c r="P349" s="23" t="s">
        <v>1088</v>
      </c>
      <c r="Q349" s="23">
        <v>45086</v>
      </c>
      <c r="R349" s="32">
        <v>45452</v>
      </c>
      <c r="V349" s="33">
        <v>50</v>
      </c>
      <c r="W349" s="28">
        <v>64.29</v>
      </c>
      <c r="X349" s="34" t="s">
        <v>54</v>
      </c>
      <c r="Y349" s="33">
        <v>32.15</v>
      </c>
      <c r="AC349" s="28">
        <v>64.29</v>
      </c>
      <c r="AD349" s="34" t="s">
        <v>54</v>
      </c>
      <c r="AE349" s="33">
        <v>32.15</v>
      </c>
      <c r="AN349" s="7" t="s">
        <v>54</v>
      </c>
      <c r="AO349" s="7" t="s">
        <v>55</v>
      </c>
      <c r="AP349" s="7" t="s">
        <v>56</v>
      </c>
      <c r="AT349" s="47" t="s">
        <v>57</v>
      </c>
      <c r="AU349" s="47" t="s">
        <v>57</v>
      </c>
    </row>
    <row r="350" spans="1:47">
      <c r="A350" s="4" t="s">
        <v>48</v>
      </c>
      <c r="C350" s="21"/>
      <c r="D350" s="22" t="s">
        <v>49</v>
      </c>
      <c r="G350" s="23">
        <v>45087</v>
      </c>
      <c r="H350" s="24" t="s">
        <v>1089</v>
      </c>
      <c r="J350" s="28" t="s">
        <v>51</v>
      </c>
      <c r="L350" s="24" t="s">
        <v>1090</v>
      </c>
      <c r="M350" s="1" t="str">
        <f>"341204198208201613"</f>
        <v>341204198208201613</v>
      </c>
      <c r="N350" s="24" t="s">
        <v>1090</v>
      </c>
      <c r="O350" s="1" t="str">
        <f>"341204198208201613"</f>
        <v>341204198208201613</v>
      </c>
      <c r="P350" s="23" t="s">
        <v>1091</v>
      </c>
      <c r="Q350" s="23">
        <v>45088</v>
      </c>
      <c r="R350" s="32">
        <v>45454</v>
      </c>
      <c r="V350" s="33">
        <v>50</v>
      </c>
      <c r="W350" s="28">
        <v>64.29</v>
      </c>
      <c r="X350" s="34" t="s">
        <v>54</v>
      </c>
      <c r="Y350" s="33">
        <v>32.15</v>
      </c>
      <c r="AC350" s="28">
        <v>64.29</v>
      </c>
      <c r="AD350" s="34" t="s">
        <v>54</v>
      </c>
      <c r="AE350" s="33">
        <v>32.15</v>
      </c>
      <c r="AN350" s="7" t="s">
        <v>54</v>
      </c>
      <c r="AO350" s="7" t="s">
        <v>55</v>
      </c>
      <c r="AP350" s="7" t="s">
        <v>56</v>
      </c>
      <c r="AT350" s="47" t="s">
        <v>57</v>
      </c>
      <c r="AU350" s="47" t="s">
        <v>57</v>
      </c>
    </row>
    <row r="351" spans="1:47">
      <c r="A351" s="4" t="s">
        <v>48</v>
      </c>
      <c r="C351" s="21"/>
      <c r="D351" s="22" t="s">
        <v>49</v>
      </c>
      <c r="G351" s="23">
        <v>45086</v>
      </c>
      <c r="H351" s="24" t="s">
        <v>1092</v>
      </c>
      <c r="J351" s="28" t="s">
        <v>51</v>
      </c>
      <c r="L351" s="24" t="s">
        <v>1093</v>
      </c>
      <c r="M351" s="1" t="str">
        <f>"341226199012023846"</f>
        <v>341226199012023846</v>
      </c>
      <c r="N351" s="24" t="s">
        <v>1093</v>
      </c>
      <c r="O351" s="1" t="str">
        <f>"341226199012023846"</f>
        <v>341226199012023846</v>
      </c>
      <c r="P351" s="23" t="s">
        <v>1094</v>
      </c>
      <c r="Q351" s="23">
        <v>45087</v>
      </c>
      <c r="R351" s="32">
        <v>45453</v>
      </c>
      <c r="V351" s="33">
        <v>50</v>
      </c>
      <c r="W351" s="28">
        <v>64.29</v>
      </c>
      <c r="X351" s="34" t="s">
        <v>54</v>
      </c>
      <c r="Y351" s="33">
        <v>32.15</v>
      </c>
      <c r="AC351" s="28">
        <v>64.29</v>
      </c>
      <c r="AD351" s="34" t="s">
        <v>54</v>
      </c>
      <c r="AE351" s="33">
        <v>32.15</v>
      </c>
      <c r="AN351" s="7" t="s">
        <v>54</v>
      </c>
      <c r="AO351" s="7" t="s">
        <v>55</v>
      </c>
      <c r="AP351" s="7" t="s">
        <v>56</v>
      </c>
      <c r="AT351" s="47" t="s">
        <v>57</v>
      </c>
      <c r="AU351" s="47" t="s">
        <v>57</v>
      </c>
    </row>
    <row r="352" spans="1:47">
      <c r="A352" s="4" t="s">
        <v>48</v>
      </c>
      <c r="C352" s="21"/>
      <c r="D352" s="22" t="s">
        <v>49</v>
      </c>
      <c r="G352" s="23">
        <v>45096</v>
      </c>
      <c r="H352" s="24" t="s">
        <v>1095</v>
      </c>
      <c r="J352" s="28" t="s">
        <v>51</v>
      </c>
      <c r="L352" s="24" t="s">
        <v>1096</v>
      </c>
      <c r="M352" s="1" t="str">
        <f>"131081198604052333"</f>
        <v>131081198604052333</v>
      </c>
      <c r="N352" s="24" t="s">
        <v>1096</v>
      </c>
      <c r="O352" s="1" t="str">
        <f>"131081198604052333"</f>
        <v>131081198604052333</v>
      </c>
      <c r="P352" s="23" t="s">
        <v>1097</v>
      </c>
      <c r="Q352" s="23">
        <v>45116</v>
      </c>
      <c r="R352" s="32">
        <v>45482</v>
      </c>
      <c r="V352" s="33">
        <v>100</v>
      </c>
      <c r="W352" s="28">
        <v>64.29</v>
      </c>
      <c r="X352" s="34" t="s">
        <v>54</v>
      </c>
      <c r="Y352" s="33">
        <v>64.29</v>
      </c>
      <c r="AC352" s="28">
        <v>64.29</v>
      </c>
      <c r="AD352" s="34" t="s">
        <v>54</v>
      </c>
      <c r="AE352" s="33">
        <v>64.29</v>
      </c>
      <c r="AN352" s="7" t="s">
        <v>54</v>
      </c>
      <c r="AO352" s="7" t="s">
        <v>55</v>
      </c>
      <c r="AP352" s="7" t="s">
        <v>56</v>
      </c>
      <c r="AT352" s="47" t="s">
        <v>57</v>
      </c>
      <c r="AU352" s="47" t="s">
        <v>57</v>
      </c>
    </row>
    <row r="353" spans="1:47">
      <c r="A353" s="4" t="s">
        <v>48</v>
      </c>
      <c r="C353" s="21"/>
      <c r="D353" s="22" t="s">
        <v>49</v>
      </c>
      <c r="G353" s="23">
        <v>45096</v>
      </c>
      <c r="H353" s="24" t="s">
        <v>1098</v>
      </c>
      <c r="J353" s="28" t="s">
        <v>51</v>
      </c>
      <c r="L353" s="24" t="s">
        <v>1099</v>
      </c>
      <c r="M353" s="1" t="str">
        <f>"341226198901230840"</f>
        <v>341226198901230840</v>
      </c>
      <c r="N353" s="24" t="s">
        <v>1099</v>
      </c>
      <c r="O353" s="1" t="str">
        <f>"341226198901230840"</f>
        <v>341226198901230840</v>
      </c>
      <c r="P353" s="23" t="s">
        <v>1100</v>
      </c>
      <c r="Q353" s="23">
        <v>45097</v>
      </c>
      <c r="R353" s="32">
        <v>45463</v>
      </c>
      <c r="V353" s="33">
        <v>100</v>
      </c>
      <c r="W353" s="28">
        <v>64.29</v>
      </c>
      <c r="X353" s="34" t="s">
        <v>54</v>
      </c>
      <c r="Y353" s="33">
        <v>64.29</v>
      </c>
      <c r="AC353" s="28">
        <v>64.29</v>
      </c>
      <c r="AD353" s="34" t="s">
        <v>54</v>
      </c>
      <c r="AE353" s="33">
        <v>64.29</v>
      </c>
      <c r="AN353" s="7" t="s">
        <v>54</v>
      </c>
      <c r="AO353" s="7" t="s">
        <v>55</v>
      </c>
      <c r="AP353" s="7" t="s">
        <v>56</v>
      </c>
      <c r="AT353" s="47" t="s">
        <v>57</v>
      </c>
      <c r="AU353" s="47" t="s">
        <v>57</v>
      </c>
    </row>
    <row r="354" spans="1:47">
      <c r="A354" s="4" t="s">
        <v>48</v>
      </c>
      <c r="C354" s="21"/>
      <c r="D354" s="22" t="s">
        <v>49</v>
      </c>
      <c r="G354" s="23">
        <v>45089</v>
      </c>
      <c r="H354" s="24" t="s">
        <v>1101</v>
      </c>
      <c r="J354" s="28" t="s">
        <v>51</v>
      </c>
      <c r="L354" s="24" t="s">
        <v>1102</v>
      </c>
      <c r="M354" s="1" t="str">
        <f>"230523198711194819"</f>
        <v>230523198711194819</v>
      </c>
      <c r="N354" s="24" t="s">
        <v>1102</v>
      </c>
      <c r="O354" s="1" t="str">
        <f>"230523198711194819"</f>
        <v>230523198711194819</v>
      </c>
      <c r="P354" s="23" t="s">
        <v>1103</v>
      </c>
      <c r="Q354" s="23">
        <v>45090</v>
      </c>
      <c r="R354" s="32">
        <v>45456</v>
      </c>
      <c r="V354" s="33">
        <v>100</v>
      </c>
      <c r="W354" s="28">
        <v>64.29</v>
      </c>
      <c r="X354" s="34" t="s">
        <v>54</v>
      </c>
      <c r="Y354" s="33">
        <v>64.29</v>
      </c>
      <c r="AC354" s="28">
        <v>64.29</v>
      </c>
      <c r="AD354" s="34" t="s">
        <v>54</v>
      </c>
      <c r="AE354" s="33">
        <v>64.29</v>
      </c>
      <c r="AN354" s="7" t="s">
        <v>54</v>
      </c>
      <c r="AO354" s="7" t="s">
        <v>55</v>
      </c>
      <c r="AP354" s="7" t="s">
        <v>56</v>
      </c>
      <c r="AT354" s="47" t="s">
        <v>57</v>
      </c>
      <c r="AU354" s="47" t="s">
        <v>57</v>
      </c>
    </row>
    <row r="355" spans="1:47">
      <c r="A355" s="4" t="s">
        <v>48</v>
      </c>
      <c r="C355" s="21"/>
      <c r="D355" s="22" t="s">
        <v>49</v>
      </c>
      <c r="G355" s="23">
        <v>45089</v>
      </c>
      <c r="H355" s="24" t="s">
        <v>1104</v>
      </c>
      <c r="J355" s="28" t="s">
        <v>51</v>
      </c>
      <c r="L355" s="24" t="s">
        <v>1105</v>
      </c>
      <c r="M355" s="1" t="str">
        <f>"130903198109101563"</f>
        <v>130903198109101563</v>
      </c>
      <c r="N355" s="24" t="s">
        <v>1105</v>
      </c>
      <c r="O355" s="1" t="str">
        <f>"130903198109101563"</f>
        <v>130903198109101563</v>
      </c>
      <c r="P355" s="23" t="s">
        <v>1106</v>
      </c>
      <c r="Q355" s="23">
        <v>45291</v>
      </c>
      <c r="R355" s="32">
        <v>45657</v>
      </c>
      <c r="V355" s="33">
        <v>100</v>
      </c>
      <c r="W355" s="28">
        <v>64.29</v>
      </c>
      <c r="X355" s="34" t="s">
        <v>54</v>
      </c>
      <c r="Y355" s="33">
        <v>64.29</v>
      </c>
      <c r="AC355" s="28">
        <v>64.29</v>
      </c>
      <c r="AD355" s="34" t="s">
        <v>54</v>
      </c>
      <c r="AE355" s="33">
        <v>64.29</v>
      </c>
      <c r="AN355" s="7" t="s">
        <v>54</v>
      </c>
      <c r="AO355" s="7" t="s">
        <v>55</v>
      </c>
      <c r="AP355" s="7" t="s">
        <v>56</v>
      </c>
      <c r="AT355" s="47" t="s">
        <v>57</v>
      </c>
      <c r="AU355" s="47" t="s">
        <v>57</v>
      </c>
    </row>
    <row r="356" spans="1:47">
      <c r="A356" s="4" t="s">
        <v>48</v>
      </c>
      <c r="C356" s="21"/>
      <c r="D356" s="22" t="s">
        <v>49</v>
      </c>
      <c r="G356" s="23">
        <v>45090</v>
      </c>
      <c r="H356" s="24" t="s">
        <v>1107</v>
      </c>
      <c r="J356" s="28" t="s">
        <v>51</v>
      </c>
      <c r="L356" s="24" t="s">
        <v>1108</v>
      </c>
      <c r="M356" s="1" t="str">
        <f>"131024199312141323"</f>
        <v>131024199312141323</v>
      </c>
      <c r="N356" s="24" t="s">
        <v>1108</v>
      </c>
      <c r="O356" s="1" t="str">
        <f>"131024199312141323"</f>
        <v>131024199312141323</v>
      </c>
      <c r="P356" s="23" t="s">
        <v>1109</v>
      </c>
      <c r="Q356" s="23">
        <v>45153</v>
      </c>
      <c r="R356" s="32">
        <v>45519</v>
      </c>
      <c r="V356" s="33">
        <v>100</v>
      </c>
      <c r="W356" s="28">
        <v>64.29</v>
      </c>
      <c r="X356" s="34" t="s">
        <v>54</v>
      </c>
      <c r="Y356" s="33">
        <v>64.29</v>
      </c>
      <c r="AC356" s="28">
        <v>64.29</v>
      </c>
      <c r="AD356" s="34" t="s">
        <v>54</v>
      </c>
      <c r="AE356" s="33">
        <v>64.29</v>
      </c>
      <c r="AN356" s="7" t="s">
        <v>54</v>
      </c>
      <c r="AO356" s="7" t="s">
        <v>55</v>
      </c>
      <c r="AP356" s="7" t="s">
        <v>56</v>
      </c>
      <c r="AT356" s="47" t="s">
        <v>57</v>
      </c>
      <c r="AU356" s="47" t="s">
        <v>57</v>
      </c>
    </row>
    <row r="357" spans="1:47">
      <c r="A357" s="4" t="s">
        <v>48</v>
      </c>
      <c r="C357" s="21"/>
      <c r="D357" s="22" t="s">
        <v>49</v>
      </c>
      <c r="G357" s="23">
        <v>45075</v>
      </c>
      <c r="H357" s="24" t="s">
        <v>1110</v>
      </c>
      <c r="J357" s="28" t="s">
        <v>51</v>
      </c>
      <c r="L357" s="24" t="s">
        <v>1111</v>
      </c>
      <c r="M357" s="1" t="str">
        <f>"130221198811115927"</f>
        <v>130221198811115927</v>
      </c>
      <c r="N357" s="24" t="s">
        <v>1111</v>
      </c>
      <c r="O357" s="1" t="str">
        <f>"130221198811115927"</f>
        <v>130221198811115927</v>
      </c>
      <c r="P357" s="23" t="s">
        <v>1112</v>
      </c>
      <c r="Q357" s="23">
        <v>45076</v>
      </c>
      <c r="R357" s="32">
        <v>45442</v>
      </c>
      <c r="V357" s="33">
        <v>100</v>
      </c>
      <c r="W357" s="28">
        <v>64.29</v>
      </c>
      <c r="X357" s="34" t="s">
        <v>54</v>
      </c>
      <c r="Y357" s="33">
        <v>64.29</v>
      </c>
      <c r="AC357" s="28">
        <v>64.29</v>
      </c>
      <c r="AD357" s="34" t="s">
        <v>54</v>
      </c>
      <c r="AE357" s="33">
        <v>64.29</v>
      </c>
      <c r="AN357" s="7" t="s">
        <v>54</v>
      </c>
      <c r="AO357" s="7" t="s">
        <v>55</v>
      </c>
      <c r="AP357" s="7" t="s">
        <v>56</v>
      </c>
      <c r="AT357" s="47" t="s">
        <v>57</v>
      </c>
      <c r="AU357" s="47" t="s">
        <v>57</v>
      </c>
    </row>
    <row r="358" spans="1:47">
      <c r="A358" s="4" t="s">
        <v>48</v>
      </c>
      <c r="C358" s="21"/>
      <c r="D358" s="22" t="s">
        <v>49</v>
      </c>
      <c r="G358" s="23">
        <v>45075</v>
      </c>
      <c r="H358" s="24" t="s">
        <v>1113</v>
      </c>
      <c r="J358" s="28" t="s">
        <v>51</v>
      </c>
      <c r="L358" s="24" t="s">
        <v>1114</v>
      </c>
      <c r="M358" s="1" t="str">
        <f>"342101197908225669"</f>
        <v>342101197908225669</v>
      </c>
      <c r="N358" s="24" t="s">
        <v>1114</v>
      </c>
      <c r="O358" s="1" t="str">
        <f>"342101197908225669"</f>
        <v>342101197908225669</v>
      </c>
      <c r="P358" s="23" t="s">
        <v>1115</v>
      </c>
      <c r="Q358" s="23">
        <v>45229</v>
      </c>
      <c r="R358" s="32">
        <v>45595</v>
      </c>
      <c r="V358" s="33">
        <v>100</v>
      </c>
      <c r="W358" s="28">
        <v>64.29</v>
      </c>
      <c r="X358" s="34" t="s">
        <v>54</v>
      </c>
      <c r="Y358" s="33">
        <v>64.29</v>
      </c>
      <c r="AC358" s="28">
        <v>64.29</v>
      </c>
      <c r="AD358" s="34" t="s">
        <v>54</v>
      </c>
      <c r="AE358" s="33">
        <v>64.29</v>
      </c>
      <c r="AN358" s="7" t="s">
        <v>54</v>
      </c>
      <c r="AO358" s="7" t="s">
        <v>55</v>
      </c>
      <c r="AP358" s="7" t="s">
        <v>56</v>
      </c>
      <c r="AT358" s="47" t="s">
        <v>57</v>
      </c>
      <c r="AU358" s="47" t="s">
        <v>57</v>
      </c>
    </row>
    <row r="359" spans="1:47">
      <c r="A359" s="4" t="s">
        <v>48</v>
      </c>
      <c r="C359" s="21"/>
      <c r="D359" s="22" t="s">
        <v>49</v>
      </c>
      <c r="G359" s="23">
        <v>45073</v>
      </c>
      <c r="H359" s="24" t="s">
        <v>1116</v>
      </c>
      <c r="J359" s="28" t="s">
        <v>51</v>
      </c>
      <c r="L359" s="24" t="s">
        <v>1117</v>
      </c>
      <c r="M359" s="1" t="str">
        <f>"371402198507203022"</f>
        <v>371402198507203022</v>
      </c>
      <c r="N359" s="24" t="s">
        <v>1117</v>
      </c>
      <c r="O359" s="1" t="str">
        <f>"371402198507203022"</f>
        <v>371402198507203022</v>
      </c>
      <c r="P359" s="23" t="s">
        <v>1118</v>
      </c>
      <c r="Q359" s="23">
        <v>45074</v>
      </c>
      <c r="R359" s="32">
        <v>45440</v>
      </c>
      <c r="V359" s="33">
        <v>100</v>
      </c>
      <c r="W359" s="28">
        <v>64.29</v>
      </c>
      <c r="X359" s="34" t="s">
        <v>54</v>
      </c>
      <c r="Y359" s="33">
        <v>64.29</v>
      </c>
      <c r="AC359" s="28">
        <v>64.29</v>
      </c>
      <c r="AD359" s="34" t="s">
        <v>54</v>
      </c>
      <c r="AE359" s="33">
        <v>64.29</v>
      </c>
      <c r="AN359" s="7" t="s">
        <v>54</v>
      </c>
      <c r="AO359" s="7" t="s">
        <v>55</v>
      </c>
      <c r="AP359" s="7" t="s">
        <v>56</v>
      </c>
      <c r="AT359" s="47" t="s">
        <v>57</v>
      </c>
      <c r="AU359" s="47" t="s">
        <v>57</v>
      </c>
    </row>
    <row r="360" spans="1:47">
      <c r="A360" s="4" t="s">
        <v>48</v>
      </c>
      <c r="C360" s="21"/>
      <c r="D360" s="22" t="s">
        <v>49</v>
      </c>
      <c r="G360" s="23">
        <v>45075</v>
      </c>
      <c r="H360" s="24" t="s">
        <v>1119</v>
      </c>
      <c r="J360" s="28" t="s">
        <v>51</v>
      </c>
      <c r="L360" s="24" t="s">
        <v>1120</v>
      </c>
      <c r="M360" s="1" t="str">
        <f>"412821197510113634"</f>
        <v>412821197510113634</v>
      </c>
      <c r="N360" s="24" t="s">
        <v>1120</v>
      </c>
      <c r="O360" s="1" t="str">
        <f>"412821197510113634"</f>
        <v>412821197510113634</v>
      </c>
      <c r="P360" s="23" t="s">
        <v>1121</v>
      </c>
      <c r="Q360" s="23">
        <v>45082</v>
      </c>
      <c r="R360" s="32">
        <v>45448</v>
      </c>
      <c r="V360" s="33">
        <v>100</v>
      </c>
      <c r="W360" s="28">
        <v>64.29</v>
      </c>
      <c r="X360" s="34" t="s">
        <v>54</v>
      </c>
      <c r="Y360" s="33">
        <v>64.29</v>
      </c>
      <c r="AC360" s="28">
        <v>64.29</v>
      </c>
      <c r="AD360" s="34" t="s">
        <v>54</v>
      </c>
      <c r="AE360" s="33">
        <v>64.29</v>
      </c>
      <c r="AN360" s="7" t="s">
        <v>54</v>
      </c>
      <c r="AO360" s="7" t="s">
        <v>55</v>
      </c>
      <c r="AP360" s="7" t="s">
        <v>56</v>
      </c>
      <c r="AT360" s="47" t="s">
        <v>57</v>
      </c>
      <c r="AU360" s="47" t="s">
        <v>57</v>
      </c>
    </row>
    <row r="361" spans="1:47">
      <c r="A361" s="4" t="s">
        <v>48</v>
      </c>
      <c r="C361" s="21"/>
      <c r="D361" s="22" t="s">
        <v>49</v>
      </c>
      <c r="G361" s="23">
        <v>45075</v>
      </c>
      <c r="H361" s="24" t="s">
        <v>1122</v>
      </c>
      <c r="J361" s="28" t="s">
        <v>51</v>
      </c>
      <c r="L361" s="24" t="s">
        <v>1123</v>
      </c>
      <c r="M361" s="1" t="str">
        <f>"140202195508291521"</f>
        <v>140202195508291521</v>
      </c>
      <c r="N361" s="24" t="s">
        <v>1123</v>
      </c>
      <c r="O361" s="1" t="str">
        <f>"140202195508291521"</f>
        <v>140202195508291521</v>
      </c>
      <c r="P361" s="23" t="s">
        <v>1124</v>
      </c>
      <c r="Q361" s="23">
        <v>45076</v>
      </c>
      <c r="R361" s="32">
        <v>45442</v>
      </c>
      <c r="V361" s="33">
        <v>100</v>
      </c>
      <c r="W361" s="28">
        <v>64.29</v>
      </c>
      <c r="X361" s="34" t="s">
        <v>54</v>
      </c>
      <c r="Y361" s="33">
        <v>64.29</v>
      </c>
      <c r="AC361" s="28">
        <v>64.29</v>
      </c>
      <c r="AD361" s="34" t="s">
        <v>54</v>
      </c>
      <c r="AE361" s="33">
        <v>64.29</v>
      </c>
      <c r="AN361" s="7" t="s">
        <v>54</v>
      </c>
      <c r="AO361" s="7" t="s">
        <v>55</v>
      </c>
      <c r="AP361" s="7" t="s">
        <v>56</v>
      </c>
      <c r="AT361" s="47" t="s">
        <v>57</v>
      </c>
      <c r="AU361" s="47" t="s">
        <v>57</v>
      </c>
    </row>
    <row r="362" spans="1:47">
      <c r="A362" s="4" t="s">
        <v>48</v>
      </c>
      <c r="C362" s="21"/>
      <c r="D362" s="22" t="s">
        <v>49</v>
      </c>
      <c r="G362" s="23">
        <v>45078</v>
      </c>
      <c r="H362" s="24" t="s">
        <v>1125</v>
      </c>
      <c r="J362" s="28" t="s">
        <v>51</v>
      </c>
      <c r="L362" s="24" t="s">
        <v>1126</v>
      </c>
      <c r="M362" s="1" t="str">
        <f>"341204199701031018"</f>
        <v>341204199701031018</v>
      </c>
      <c r="N362" s="24" t="s">
        <v>1126</v>
      </c>
      <c r="O362" s="1" t="str">
        <f>"341204199701031018"</f>
        <v>341204199701031018</v>
      </c>
      <c r="P362" s="23" t="s">
        <v>1127</v>
      </c>
      <c r="Q362" s="23">
        <v>45148</v>
      </c>
      <c r="R362" s="32">
        <v>45514</v>
      </c>
      <c r="V362" s="33">
        <v>600</v>
      </c>
      <c r="W362" s="28">
        <v>64.29</v>
      </c>
      <c r="X362" s="34" t="s">
        <v>54</v>
      </c>
      <c r="Y362" s="33">
        <v>385.74</v>
      </c>
      <c r="AC362" s="28">
        <v>64.29</v>
      </c>
      <c r="AD362" s="34" t="s">
        <v>54</v>
      </c>
      <c r="AE362" s="33">
        <v>385.74</v>
      </c>
      <c r="AN362" s="7" t="s">
        <v>54</v>
      </c>
      <c r="AO362" s="7" t="s">
        <v>55</v>
      </c>
      <c r="AP362" s="7" t="s">
        <v>56</v>
      </c>
      <c r="AT362" s="47" t="s">
        <v>57</v>
      </c>
      <c r="AU362" s="47" t="s">
        <v>57</v>
      </c>
    </row>
    <row r="363" spans="1:47">
      <c r="A363" s="4" t="s">
        <v>48</v>
      </c>
      <c r="C363" s="21"/>
      <c r="D363" s="22" t="s">
        <v>49</v>
      </c>
      <c r="G363" s="23">
        <v>45076</v>
      </c>
      <c r="H363" s="24" t="s">
        <v>1128</v>
      </c>
      <c r="J363" s="28" t="s">
        <v>51</v>
      </c>
      <c r="L363" s="24" t="s">
        <v>1129</v>
      </c>
      <c r="M363" s="1" t="str">
        <f>"342101197505068216"</f>
        <v>342101197505068216</v>
      </c>
      <c r="N363" s="24" t="s">
        <v>1129</v>
      </c>
      <c r="O363" s="1" t="str">
        <f>"342101197505068216"</f>
        <v>342101197505068216</v>
      </c>
      <c r="P363" s="23" t="s">
        <v>1130</v>
      </c>
      <c r="Q363" s="23">
        <v>45077</v>
      </c>
      <c r="R363" s="32">
        <v>45443</v>
      </c>
      <c r="V363" s="33">
        <v>600</v>
      </c>
      <c r="W363" s="28">
        <v>64.29</v>
      </c>
      <c r="X363" s="34" t="s">
        <v>54</v>
      </c>
      <c r="Y363" s="33">
        <v>385.74</v>
      </c>
      <c r="AC363" s="28">
        <v>64.29</v>
      </c>
      <c r="AD363" s="34" t="s">
        <v>54</v>
      </c>
      <c r="AE363" s="33">
        <v>385.74</v>
      </c>
      <c r="AN363" s="7" t="s">
        <v>54</v>
      </c>
      <c r="AO363" s="7" t="s">
        <v>55</v>
      </c>
      <c r="AP363" s="7" t="s">
        <v>56</v>
      </c>
      <c r="AT363" s="47" t="s">
        <v>57</v>
      </c>
      <c r="AU363" s="47" t="s">
        <v>57</v>
      </c>
    </row>
    <row r="364" spans="1:47">
      <c r="A364" s="4" t="s">
        <v>48</v>
      </c>
      <c r="C364" s="21"/>
      <c r="D364" s="22" t="s">
        <v>49</v>
      </c>
      <c r="G364" s="23">
        <v>45075</v>
      </c>
      <c r="H364" s="24" t="s">
        <v>1131</v>
      </c>
      <c r="J364" s="28" t="s">
        <v>51</v>
      </c>
      <c r="L364" s="24" t="s">
        <v>1132</v>
      </c>
      <c r="M364" s="1" t="str">
        <f>"341227199507022016"</f>
        <v>341227199507022016</v>
      </c>
      <c r="N364" s="24" t="s">
        <v>1132</v>
      </c>
      <c r="O364" s="1" t="str">
        <f>"341227199507022016"</f>
        <v>341227199507022016</v>
      </c>
      <c r="P364" s="23" t="s">
        <v>1133</v>
      </c>
      <c r="Q364" s="23">
        <v>45076</v>
      </c>
      <c r="R364" s="32">
        <v>45442</v>
      </c>
      <c r="V364" s="33">
        <v>600</v>
      </c>
      <c r="W364" s="28">
        <v>64.29</v>
      </c>
      <c r="X364" s="34" t="s">
        <v>54</v>
      </c>
      <c r="Y364" s="33">
        <v>385.74</v>
      </c>
      <c r="AC364" s="28">
        <v>64.29</v>
      </c>
      <c r="AD364" s="34" t="s">
        <v>54</v>
      </c>
      <c r="AE364" s="33">
        <v>385.74</v>
      </c>
      <c r="AN364" s="7" t="s">
        <v>54</v>
      </c>
      <c r="AO364" s="7" t="s">
        <v>55</v>
      </c>
      <c r="AP364" s="7" t="s">
        <v>56</v>
      </c>
      <c r="AT364" s="47" t="s">
        <v>57</v>
      </c>
      <c r="AU364" s="47" t="s">
        <v>57</v>
      </c>
    </row>
    <row r="365" spans="1:47">
      <c r="A365" s="4" t="s">
        <v>48</v>
      </c>
      <c r="C365" s="21"/>
      <c r="D365" s="22" t="s">
        <v>49</v>
      </c>
      <c r="G365" s="23">
        <v>45076</v>
      </c>
      <c r="H365" s="24" t="s">
        <v>1134</v>
      </c>
      <c r="J365" s="28" t="s">
        <v>51</v>
      </c>
      <c r="L365" s="24" t="s">
        <v>1135</v>
      </c>
      <c r="M365" s="1" t="str">
        <f>"341226199008205356"</f>
        <v>341226199008205356</v>
      </c>
      <c r="N365" s="24" t="s">
        <v>1135</v>
      </c>
      <c r="O365" s="1" t="str">
        <f>"341226199008205356"</f>
        <v>341226199008205356</v>
      </c>
      <c r="P365" s="23" t="s">
        <v>1136</v>
      </c>
      <c r="Q365" s="23">
        <v>45077</v>
      </c>
      <c r="R365" s="32">
        <v>45443</v>
      </c>
      <c r="V365" s="33">
        <v>600</v>
      </c>
      <c r="W365" s="28">
        <v>64.29</v>
      </c>
      <c r="X365" s="34" t="s">
        <v>54</v>
      </c>
      <c r="Y365" s="33">
        <v>385.74</v>
      </c>
      <c r="AC365" s="28">
        <v>64.29</v>
      </c>
      <c r="AD365" s="34" t="s">
        <v>54</v>
      </c>
      <c r="AE365" s="33">
        <v>385.74</v>
      </c>
      <c r="AN365" s="7" t="s">
        <v>54</v>
      </c>
      <c r="AO365" s="7" t="s">
        <v>55</v>
      </c>
      <c r="AP365" s="7" t="s">
        <v>56</v>
      </c>
      <c r="AT365" s="47" t="s">
        <v>57</v>
      </c>
      <c r="AU365" s="47" t="s">
        <v>57</v>
      </c>
    </row>
    <row r="366" spans="1:47">
      <c r="A366" s="4" t="s">
        <v>48</v>
      </c>
      <c r="C366" s="21"/>
      <c r="D366" s="22" t="s">
        <v>49</v>
      </c>
      <c r="G366" s="23">
        <v>45088</v>
      </c>
      <c r="H366" s="24" t="s">
        <v>1137</v>
      </c>
      <c r="J366" s="28" t="s">
        <v>51</v>
      </c>
      <c r="L366" s="24" t="s">
        <v>1138</v>
      </c>
      <c r="M366" s="1" t="str">
        <f>"120222199201314629"</f>
        <v>120222199201314629</v>
      </c>
      <c r="N366" s="24" t="s">
        <v>1138</v>
      </c>
      <c r="O366" s="1" t="str">
        <f>"120222199201314629"</f>
        <v>120222199201314629</v>
      </c>
      <c r="P366" s="23" t="s">
        <v>1139</v>
      </c>
      <c r="Q366" s="23">
        <v>45089</v>
      </c>
      <c r="R366" s="32">
        <v>45455</v>
      </c>
      <c r="V366" s="33">
        <v>50</v>
      </c>
      <c r="W366" s="28">
        <v>64.29</v>
      </c>
      <c r="X366" s="34" t="s">
        <v>54</v>
      </c>
      <c r="Y366" s="33">
        <v>32.15</v>
      </c>
      <c r="AC366" s="28">
        <v>64.29</v>
      </c>
      <c r="AD366" s="34" t="s">
        <v>54</v>
      </c>
      <c r="AE366" s="33">
        <v>32.15</v>
      </c>
      <c r="AN366" s="7" t="s">
        <v>54</v>
      </c>
      <c r="AO366" s="7" t="s">
        <v>55</v>
      </c>
      <c r="AP366" s="7" t="s">
        <v>56</v>
      </c>
      <c r="AT366" s="47" t="s">
        <v>57</v>
      </c>
      <c r="AU366" s="47" t="s">
        <v>57</v>
      </c>
    </row>
    <row r="367" spans="1:47">
      <c r="A367" s="4" t="s">
        <v>48</v>
      </c>
      <c r="C367" s="21"/>
      <c r="D367" s="22" t="s">
        <v>49</v>
      </c>
      <c r="G367" s="23">
        <v>45087</v>
      </c>
      <c r="H367" s="24" t="s">
        <v>1140</v>
      </c>
      <c r="J367" s="28" t="s">
        <v>51</v>
      </c>
      <c r="L367" s="24" t="s">
        <v>1141</v>
      </c>
      <c r="M367" s="1" t="str">
        <f>"131082198211120039"</f>
        <v>131082198211120039</v>
      </c>
      <c r="N367" s="24" t="s">
        <v>1141</v>
      </c>
      <c r="O367" s="1" t="str">
        <f>"131082198211120039"</f>
        <v>131082198211120039</v>
      </c>
      <c r="P367" s="23" t="s">
        <v>1142</v>
      </c>
      <c r="Q367" s="23">
        <v>45088</v>
      </c>
      <c r="R367" s="32">
        <v>45454</v>
      </c>
      <c r="V367" s="33">
        <v>50</v>
      </c>
      <c r="W367" s="28">
        <v>64.29</v>
      </c>
      <c r="X367" s="34" t="s">
        <v>54</v>
      </c>
      <c r="Y367" s="33">
        <v>32.15</v>
      </c>
      <c r="AC367" s="28">
        <v>64.29</v>
      </c>
      <c r="AD367" s="34" t="s">
        <v>54</v>
      </c>
      <c r="AE367" s="33">
        <v>32.15</v>
      </c>
      <c r="AN367" s="7" t="s">
        <v>54</v>
      </c>
      <c r="AO367" s="7" t="s">
        <v>55</v>
      </c>
      <c r="AP367" s="7" t="s">
        <v>56</v>
      </c>
      <c r="AT367" s="47" t="s">
        <v>57</v>
      </c>
      <c r="AU367" s="47" t="s">
        <v>57</v>
      </c>
    </row>
    <row r="368" spans="1:47">
      <c r="A368" s="4" t="s">
        <v>48</v>
      </c>
      <c r="C368" s="21"/>
      <c r="D368" s="22" t="s">
        <v>49</v>
      </c>
      <c r="G368" s="23">
        <v>45086</v>
      </c>
      <c r="H368" s="24" t="s">
        <v>1143</v>
      </c>
      <c r="J368" s="28" t="s">
        <v>51</v>
      </c>
      <c r="L368" s="24" t="s">
        <v>1144</v>
      </c>
      <c r="M368" s="1" t="str">
        <f>"22018119890602262X"</f>
        <v>22018119890602262X</v>
      </c>
      <c r="N368" s="24" t="s">
        <v>1144</v>
      </c>
      <c r="O368" s="1" t="str">
        <f>"22018119890602262X"</f>
        <v>22018119890602262X</v>
      </c>
      <c r="P368" s="23" t="s">
        <v>1145</v>
      </c>
      <c r="Q368" s="23">
        <v>45087</v>
      </c>
      <c r="R368" s="32">
        <v>45453</v>
      </c>
      <c r="V368" s="33">
        <v>50</v>
      </c>
      <c r="W368" s="28">
        <v>64.29</v>
      </c>
      <c r="X368" s="34" t="s">
        <v>54</v>
      </c>
      <c r="Y368" s="33">
        <v>32.15</v>
      </c>
      <c r="AC368" s="28">
        <v>64.29</v>
      </c>
      <c r="AD368" s="34" t="s">
        <v>54</v>
      </c>
      <c r="AE368" s="33">
        <v>32.15</v>
      </c>
      <c r="AN368" s="7" t="s">
        <v>54</v>
      </c>
      <c r="AO368" s="7" t="s">
        <v>55</v>
      </c>
      <c r="AP368" s="7" t="s">
        <v>56</v>
      </c>
      <c r="AT368" s="47" t="s">
        <v>57</v>
      </c>
      <c r="AU368" s="47" t="s">
        <v>57</v>
      </c>
    </row>
    <row r="369" spans="1:47">
      <c r="A369" s="4" t="s">
        <v>48</v>
      </c>
      <c r="C369" s="21"/>
      <c r="D369" s="22" t="s">
        <v>49</v>
      </c>
      <c r="G369" s="23">
        <v>45096</v>
      </c>
      <c r="H369" s="24" t="s">
        <v>1146</v>
      </c>
      <c r="J369" s="28" t="s">
        <v>51</v>
      </c>
      <c r="L369" s="24" t="s">
        <v>1147</v>
      </c>
      <c r="M369" s="1" t="str">
        <f>"341203198902134047"</f>
        <v>341203198902134047</v>
      </c>
      <c r="N369" s="24" t="s">
        <v>1147</v>
      </c>
      <c r="O369" s="1" t="str">
        <f>"341203198902134047"</f>
        <v>341203198902134047</v>
      </c>
      <c r="P369" s="23" t="s">
        <v>1148</v>
      </c>
      <c r="Q369" s="23">
        <v>45097</v>
      </c>
      <c r="R369" s="32">
        <v>45463</v>
      </c>
      <c r="V369" s="33">
        <v>100</v>
      </c>
      <c r="W369" s="28">
        <v>64.29</v>
      </c>
      <c r="X369" s="34" t="s">
        <v>54</v>
      </c>
      <c r="Y369" s="33">
        <v>64.29</v>
      </c>
      <c r="AC369" s="28">
        <v>64.29</v>
      </c>
      <c r="AD369" s="34" t="s">
        <v>54</v>
      </c>
      <c r="AE369" s="33">
        <v>64.29</v>
      </c>
      <c r="AN369" s="7" t="s">
        <v>54</v>
      </c>
      <c r="AO369" s="7" t="s">
        <v>55</v>
      </c>
      <c r="AP369" s="7" t="s">
        <v>56</v>
      </c>
      <c r="AT369" s="47" t="s">
        <v>57</v>
      </c>
      <c r="AU369" s="47" t="s">
        <v>57</v>
      </c>
    </row>
    <row r="370" spans="1:47">
      <c r="A370" s="4" t="s">
        <v>48</v>
      </c>
      <c r="C370" s="21"/>
      <c r="D370" s="22" t="s">
        <v>49</v>
      </c>
      <c r="G370" s="23">
        <v>45098</v>
      </c>
      <c r="H370" s="24" t="s">
        <v>1149</v>
      </c>
      <c r="J370" s="28" t="s">
        <v>51</v>
      </c>
      <c r="L370" s="24" t="s">
        <v>1150</v>
      </c>
      <c r="M370" s="1" t="str">
        <f>"120222199309022222"</f>
        <v>120222199309022222</v>
      </c>
      <c r="N370" s="24" t="s">
        <v>1150</v>
      </c>
      <c r="O370" s="1" t="str">
        <f>"120222199309022222"</f>
        <v>120222199309022222</v>
      </c>
      <c r="P370" s="23" t="s">
        <v>1151</v>
      </c>
      <c r="Q370" s="23">
        <v>45099</v>
      </c>
      <c r="R370" s="32">
        <v>45465</v>
      </c>
      <c r="V370" s="33">
        <v>100</v>
      </c>
      <c r="W370" s="28">
        <v>64.29</v>
      </c>
      <c r="X370" s="34" t="s">
        <v>54</v>
      </c>
      <c r="Y370" s="33">
        <v>64.29</v>
      </c>
      <c r="AC370" s="28">
        <v>64.29</v>
      </c>
      <c r="AD370" s="34" t="s">
        <v>54</v>
      </c>
      <c r="AE370" s="33">
        <v>64.29</v>
      </c>
      <c r="AN370" s="7" t="s">
        <v>54</v>
      </c>
      <c r="AO370" s="7" t="s">
        <v>55</v>
      </c>
      <c r="AP370" s="7" t="s">
        <v>56</v>
      </c>
      <c r="AT370" s="47" t="s">
        <v>57</v>
      </c>
      <c r="AU370" s="47" t="s">
        <v>57</v>
      </c>
    </row>
    <row r="371" spans="1:47">
      <c r="A371" s="4" t="s">
        <v>48</v>
      </c>
      <c r="C371" s="21"/>
      <c r="D371" s="22" t="s">
        <v>49</v>
      </c>
      <c r="G371" s="23">
        <v>45096</v>
      </c>
      <c r="H371" s="24" t="s">
        <v>1152</v>
      </c>
      <c r="J371" s="28" t="s">
        <v>51</v>
      </c>
      <c r="L371" s="24" t="s">
        <v>1153</v>
      </c>
      <c r="M371" s="1" t="str">
        <f>"210381197206127513"</f>
        <v>210381197206127513</v>
      </c>
      <c r="N371" s="24" t="s">
        <v>1153</v>
      </c>
      <c r="O371" s="1" t="str">
        <f>"210381197206127513"</f>
        <v>210381197206127513</v>
      </c>
      <c r="P371" s="23" t="s">
        <v>1154</v>
      </c>
      <c r="Q371" s="23">
        <v>45107</v>
      </c>
      <c r="R371" s="32">
        <v>45473</v>
      </c>
      <c r="V371" s="33">
        <v>100</v>
      </c>
      <c r="W371" s="28">
        <v>64.29</v>
      </c>
      <c r="X371" s="34" t="s">
        <v>54</v>
      </c>
      <c r="Y371" s="33">
        <v>64.29</v>
      </c>
      <c r="AC371" s="28">
        <v>64.29</v>
      </c>
      <c r="AD371" s="34" t="s">
        <v>54</v>
      </c>
      <c r="AE371" s="33">
        <v>64.29</v>
      </c>
      <c r="AN371" s="7" t="s">
        <v>54</v>
      </c>
      <c r="AO371" s="7" t="s">
        <v>55</v>
      </c>
      <c r="AP371" s="7" t="s">
        <v>56</v>
      </c>
      <c r="AT371" s="47" t="s">
        <v>57</v>
      </c>
      <c r="AU371" s="47" t="s">
        <v>57</v>
      </c>
    </row>
    <row r="372" spans="1:47">
      <c r="A372" s="4" t="s">
        <v>48</v>
      </c>
      <c r="C372" s="21"/>
      <c r="D372" s="22" t="s">
        <v>49</v>
      </c>
      <c r="G372" s="23">
        <v>45089</v>
      </c>
      <c r="H372" s="24" t="s">
        <v>1155</v>
      </c>
      <c r="J372" s="28" t="s">
        <v>51</v>
      </c>
      <c r="L372" s="24" t="s">
        <v>1156</v>
      </c>
      <c r="M372" s="1" t="str">
        <f>"34162319990102565X"</f>
        <v>34162319990102565X</v>
      </c>
      <c r="N372" s="24" t="s">
        <v>1156</v>
      </c>
      <c r="O372" s="1" t="str">
        <f>"34162319990102565X"</f>
        <v>34162319990102565X</v>
      </c>
      <c r="P372" s="23" t="s">
        <v>1157</v>
      </c>
      <c r="Q372" s="23">
        <v>45291</v>
      </c>
      <c r="R372" s="32">
        <v>45657</v>
      </c>
      <c r="V372" s="33">
        <v>100</v>
      </c>
      <c r="W372" s="28">
        <v>64.29</v>
      </c>
      <c r="X372" s="34" t="s">
        <v>54</v>
      </c>
      <c r="Y372" s="33">
        <v>64.29</v>
      </c>
      <c r="AC372" s="28">
        <v>64.29</v>
      </c>
      <c r="AD372" s="34" t="s">
        <v>54</v>
      </c>
      <c r="AE372" s="33">
        <v>64.29</v>
      </c>
      <c r="AN372" s="7" t="s">
        <v>54</v>
      </c>
      <c r="AO372" s="7" t="s">
        <v>55</v>
      </c>
      <c r="AP372" s="7" t="s">
        <v>56</v>
      </c>
      <c r="AT372" s="47" t="s">
        <v>57</v>
      </c>
      <c r="AU372" s="47" t="s">
        <v>57</v>
      </c>
    </row>
    <row r="373" spans="1:47">
      <c r="A373" s="4" t="s">
        <v>48</v>
      </c>
      <c r="C373" s="21"/>
      <c r="D373" s="22" t="s">
        <v>49</v>
      </c>
      <c r="G373" s="23">
        <v>45090</v>
      </c>
      <c r="H373" s="24" t="s">
        <v>1158</v>
      </c>
      <c r="J373" s="28" t="s">
        <v>51</v>
      </c>
      <c r="L373" s="24" t="s">
        <v>1159</v>
      </c>
      <c r="M373" s="1" t="str">
        <f>"34210119600423041X"</f>
        <v>34210119600423041X</v>
      </c>
      <c r="N373" s="24" t="s">
        <v>1159</v>
      </c>
      <c r="O373" s="1" t="str">
        <f>"34210119600423041X"</f>
        <v>34210119600423041X</v>
      </c>
      <c r="P373" s="23" t="s">
        <v>1160</v>
      </c>
      <c r="Q373" s="23">
        <v>45181</v>
      </c>
      <c r="R373" s="32">
        <v>45547</v>
      </c>
      <c r="V373" s="33">
        <v>100</v>
      </c>
      <c r="W373" s="28">
        <v>64.29</v>
      </c>
      <c r="X373" s="34" t="s">
        <v>54</v>
      </c>
      <c r="Y373" s="33">
        <v>64.29</v>
      </c>
      <c r="AC373" s="28">
        <v>64.29</v>
      </c>
      <c r="AD373" s="34" t="s">
        <v>54</v>
      </c>
      <c r="AE373" s="33">
        <v>64.29</v>
      </c>
      <c r="AN373" s="7" t="s">
        <v>54</v>
      </c>
      <c r="AO373" s="7" t="s">
        <v>55</v>
      </c>
      <c r="AP373" s="7" t="s">
        <v>56</v>
      </c>
      <c r="AT373" s="47" t="s">
        <v>57</v>
      </c>
      <c r="AU373" s="47" t="s">
        <v>57</v>
      </c>
    </row>
    <row r="374" spans="1:47">
      <c r="A374" s="4" t="s">
        <v>48</v>
      </c>
      <c r="C374" s="21"/>
      <c r="D374" s="22" t="s">
        <v>49</v>
      </c>
      <c r="G374" s="23">
        <v>45086</v>
      </c>
      <c r="H374" s="24" t="s">
        <v>1161</v>
      </c>
      <c r="J374" s="28" t="s">
        <v>51</v>
      </c>
      <c r="L374" s="24" t="s">
        <v>1162</v>
      </c>
      <c r="M374" s="1" t="str">
        <f>"341202197901171929"</f>
        <v>341202197901171929</v>
      </c>
      <c r="N374" s="24" t="s">
        <v>1162</v>
      </c>
      <c r="O374" s="1" t="str">
        <f>"341202197901171929"</f>
        <v>341202197901171929</v>
      </c>
      <c r="P374" s="23" t="s">
        <v>1163</v>
      </c>
      <c r="Q374" s="23">
        <v>45087</v>
      </c>
      <c r="R374" s="32">
        <v>45453</v>
      </c>
      <c r="V374" s="33">
        <v>100</v>
      </c>
      <c r="W374" s="28">
        <v>64.29</v>
      </c>
      <c r="X374" s="34" t="s">
        <v>54</v>
      </c>
      <c r="Y374" s="33">
        <v>64.29</v>
      </c>
      <c r="AC374" s="28">
        <v>64.29</v>
      </c>
      <c r="AD374" s="34" t="s">
        <v>54</v>
      </c>
      <c r="AE374" s="33">
        <v>64.29</v>
      </c>
      <c r="AN374" s="7" t="s">
        <v>54</v>
      </c>
      <c r="AO374" s="7" t="s">
        <v>55</v>
      </c>
      <c r="AP374" s="7" t="s">
        <v>56</v>
      </c>
      <c r="AT374" s="47" t="s">
        <v>57</v>
      </c>
      <c r="AU374" s="47" t="s">
        <v>57</v>
      </c>
    </row>
    <row r="375" spans="1:47">
      <c r="A375" s="4" t="s">
        <v>48</v>
      </c>
      <c r="C375" s="21"/>
      <c r="D375" s="22" t="s">
        <v>49</v>
      </c>
      <c r="G375" s="23">
        <v>45087</v>
      </c>
      <c r="H375" s="24" t="s">
        <v>1164</v>
      </c>
      <c r="J375" s="28" t="s">
        <v>51</v>
      </c>
      <c r="L375" s="24" t="s">
        <v>1165</v>
      </c>
      <c r="M375" s="1" t="str">
        <f>"342121196401157418"</f>
        <v>342121196401157418</v>
      </c>
      <c r="N375" s="24" t="s">
        <v>1165</v>
      </c>
      <c r="O375" s="1" t="str">
        <f>"342121196401157418"</f>
        <v>342121196401157418</v>
      </c>
      <c r="P375" s="23" t="s">
        <v>1166</v>
      </c>
      <c r="Q375" s="23">
        <v>45108</v>
      </c>
      <c r="R375" s="32">
        <v>45474</v>
      </c>
      <c r="V375" s="33">
        <v>100</v>
      </c>
      <c r="W375" s="28">
        <v>64.29</v>
      </c>
      <c r="X375" s="34" t="s">
        <v>54</v>
      </c>
      <c r="Y375" s="33">
        <v>64.29</v>
      </c>
      <c r="AC375" s="28">
        <v>64.29</v>
      </c>
      <c r="AD375" s="34" t="s">
        <v>54</v>
      </c>
      <c r="AE375" s="33">
        <v>64.29</v>
      </c>
      <c r="AN375" s="7" t="s">
        <v>54</v>
      </c>
      <c r="AO375" s="7" t="s">
        <v>55</v>
      </c>
      <c r="AP375" s="7" t="s">
        <v>56</v>
      </c>
      <c r="AT375" s="47" t="s">
        <v>57</v>
      </c>
      <c r="AU375" s="47" t="s">
        <v>57</v>
      </c>
    </row>
    <row r="376" spans="1:47">
      <c r="A376" s="4" t="s">
        <v>48</v>
      </c>
      <c r="C376" s="21"/>
      <c r="D376" s="22" t="s">
        <v>49</v>
      </c>
      <c r="G376" s="23">
        <v>45087</v>
      </c>
      <c r="H376" s="24" t="s">
        <v>1167</v>
      </c>
      <c r="J376" s="28" t="s">
        <v>51</v>
      </c>
      <c r="L376" s="24" t="s">
        <v>1168</v>
      </c>
      <c r="M376" s="1" t="str">
        <f>"341202199004012767"</f>
        <v>341202199004012767</v>
      </c>
      <c r="N376" s="24" t="s">
        <v>1168</v>
      </c>
      <c r="O376" s="1" t="str">
        <f>"341202199004012767"</f>
        <v>341202199004012767</v>
      </c>
      <c r="P376" s="23" t="s">
        <v>1169</v>
      </c>
      <c r="Q376" s="23">
        <v>45088</v>
      </c>
      <c r="R376" s="32">
        <v>45454</v>
      </c>
      <c r="V376" s="33">
        <v>100</v>
      </c>
      <c r="W376" s="28">
        <v>64.29</v>
      </c>
      <c r="X376" s="34" t="s">
        <v>54</v>
      </c>
      <c r="Y376" s="33">
        <v>64.29</v>
      </c>
      <c r="AC376" s="28">
        <v>64.29</v>
      </c>
      <c r="AD376" s="34" t="s">
        <v>54</v>
      </c>
      <c r="AE376" s="33">
        <v>64.29</v>
      </c>
      <c r="AN376" s="7" t="s">
        <v>54</v>
      </c>
      <c r="AO376" s="7" t="s">
        <v>55</v>
      </c>
      <c r="AP376" s="7" t="s">
        <v>56</v>
      </c>
      <c r="AT376" s="47" t="s">
        <v>57</v>
      </c>
      <c r="AU376" s="47" t="s">
        <v>57</v>
      </c>
    </row>
    <row r="377" spans="1:47">
      <c r="A377" s="4" t="s">
        <v>48</v>
      </c>
      <c r="C377" s="21"/>
      <c r="D377" s="22" t="s">
        <v>49</v>
      </c>
      <c r="G377" s="23">
        <v>45086</v>
      </c>
      <c r="H377" s="24" t="s">
        <v>1170</v>
      </c>
      <c r="J377" s="28" t="s">
        <v>51</v>
      </c>
      <c r="L377" s="24" t="s">
        <v>1171</v>
      </c>
      <c r="M377" s="1" t="str">
        <f>"152101198606220343"</f>
        <v>152101198606220343</v>
      </c>
      <c r="N377" s="24" t="s">
        <v>1171</v>
      </c>
      <c r="O377" s="1" t="str">
        <f>"152101198606220343"</f>
        <v>152101198606220343</v>
      </c>
      <c r="P377" s="23" t="s">
        <v>1172</v>
      </c>
      <c r="Q377" s="23">
        <v>45117</v>
      </c>
      <c r="R377" s="32">
        <v>45483</v>
      </c>
      <c r="V377" s="33">
        <v>100</v>
      </c>
      <c r="W377" s="28">
        <v>64.29</v>
      </c>
      <c r="X377" s="34" t="s">
        <v>54</v>
      </c>
      <c r="Y377" s="33">
        <v>64.29</v>
      </c>
      <c r="AC377" s="28">
        <v>64.29</v>
      </c>
      <c r="AD377" s="34" t="s">
        <v>54</v>
      </c>
      <c r="AE377" s="33">
        <v>64.29</v>
      </c>
      <c r="AN377" s="7" t="s">
        <v>54</v>
      </c>
      <c r="AO377" s="7" t="s">
        <v>55</v>
      </c>
      <c r="AP377" s="7" t="s">
        <v>56</v>
      </c>
      <c r="AT377" s="47" t="s">
        <v>57</v>
      </c>
      <c r="AU377" s="47" t="s">
        <v>57</v>
      </c>
    </row>
    <row r="378" spans="1:47">
      <c r="A378" s="4" t="s">
        <v>48</v>
      </c>
      <c r="C378" s="21"/>
      <c r="D378" s="22" t="s">
        <v>49</v>
      </c>
      <c r="G378" s="23">
        <v>45075</v>
      </c>
      <c r="H378" s="24" t="s">
        <v>1173</v>
      </c>
      <c r="J378" s="28" t="s">
        <v>51</v>
      </c>
      <c r="L378" s="24" t="s">
        <v>1174</v>
      </c>
      <c r="M378" s="1" t="str">
        <f>"340421197105050252"</f>
        <v>340421197105050252</v>
      </c>
      <c r="N378" s="24" t="s">
        <v>1174</v>
      </c>
      <c r="O378" s="1" t="str">
        <f>"340421197105050252"</f>
        <v>340421197105050252</v>
      </c>
      <c r="P378" s="23" t="s">
        <v>1175</v>
      </c>
      <c r="Q378" s="23">
        <v>45286</v>
      </c>
      <c r="R378" s="32">
        <v>45652</v>
      </c>
      <c r="V378" s="33">
        <v>100</v>
      </c>
      <c r="W378" s="28">
        <v>64.29</v>
      </c>
      <c r="X378" s="34" t="s">
        <v>54</v>
      </c>
      <c r="Y378" s="33">
        <v>64.29</v>
      </c>
      <c r="AC378" s="28">
        <v>64.29</v>
      </c>
      <c r="AD378" s="34" t="s">
        <v>54</v>
      </c>
      <c r="AE378" s="33">
        <v>64.29</v>
      </c>
      <c r="AN378" s="7" t="s">
        <v>54</v>
      </c>
      <c r="AO378" s="7" t="s">
        <v>55</v>
      </c>
      <c r="AP378" s="7" t="s">
        <v>56</v>
      </c>
      <c r="AT378" s="47" t="s">
        <v>57</v>
      </c>
      <c r="AU378" s="47" t="s">
        <v>57</v>
      </c>
    </row>
    <row r="379" spans="1:47">
      <c r="A379" s="4" t="s">
        <v>48</v>
      </c>
      <c r="C379" s="21"/>
      <c r="D379" s="22" t="s">
        <v>49</v>
      </c>
      <c r="G379" s="23">
        <v>45075</v>
      </c>
      <c r="H379" s="24" t="s">
        <v>1176</v>
      </c>
      <c r="J379" s="28" t="s">
        <v>51</v>
      </c>
      <c r="L379" s="24" t="s">
        <v>1177</v>
      </c>
      <c r="M379" s="1" t="str">
        <f>"34122119890512789X"</f>
        <v>34122119890512789X</v>
      </c>
      <c r="N379" s="24" t="s">
        <v>1177</v>
      </c>
      <c r="O379" s="1" t="str">
        <f>"34122119890512789X"</f>
        <v>34122119890512789X</v>
      </c>
      <c r="P379" s="23" t="s">
        <v>1178</v>
      </c>
      <c r="Q379" s="23">
        <v>45076</v>
      </c>
      <c r="R379" s="32">
        <v>45442</v>
      </c>
      <c r="V379" s="33">
        <v>100</v>
      </c>
      <c r="W379" s="28">
        <v>64.29</v>
      </c>
      <c r="X379" s="34" t="s">
        <v>54</v>
      </c>
      <c r="Y379" s="33">
        <v>64.29</v>
      </c>
      <c r="AC379" s="28">
        <v>64.29</v>
      </c>
      <c r="AD379" s="34" t="s">
        <v>54</v>
      </c>
      <c r="AE379" s="33">
        <v>64.29</v>
      </c>
      <c r="AN379" s="7" t="s">
        <v>54</v>
      </c>
      <c r="AO379" s="7" t="s">
        <v>55</v>
      </c>
      <c r="AP379" s="7" t="s">
        <v>56</v>
      </c>
      <c r="AT379" s="47" t="s">
        <v>57</v>
      </c>
      <c r="AU379" s="47" t="s">
        <v>57</v>
      </c>
    </row>
    <row r="380" spans="1:47">
      <c r="A380" s="4" t="s">
        <v>48</v>
      </c>
      <c r="C380" s="21"/>
      <c r="D380" s="22" t="s">
        <v>49</v>
      </c>
      <c r="G380" s="23">
        <v>45076</v>
      </c>
      <c r="H380" s="24" t="s">
        <v>1179</v>
      </c>
      <c r="J380" s="28" t="s">
        <v>51</v>
      </c>
      <c r="L380" s="24" t="s">
        <v>1180</v>
      </c>
      <c r="M380" s="1" t="str">
        <f>"230521195704220314"</f>
        <v>230521195704220314</v>
      </c>
      <c r="N380" s="24" t="s">
        <v>1180</v>
      </c>
      <c r="O380" s="1" t="str">
        <f>"230521195704220314"</f>
        <v>230521195704220314</v>
      </c>
      <c r="P380" s="23" t="s">
        <v>1181</v>
      </c>
      <c r="Q380" s="23">
        <v>45261</v>
      </c>
      <c r="R380" s="32">
        <v>45627</v>
      </c>
      <c r="V380" s="33">
        <v>100</v>
      </c>
      <c r="W380" s="28">
        <v>64.29</v>
      </c>
      <c r="X380" s="34" t="s">
        <v>54</v>
      </c>
      <c r="Y380" s="33">
        <v>64.29</v>
      </c>
      <c r="AC380" s="28">
        <v>64.29</v>
      </c>
      <c r="AD380" s="34" t="s">
        <v>54</v>
      </c>
      <c r="AE380" s="33">
        <v>64.29</v>
      </c>
      <c r="AN380" s="7" t="s">
        <v>54</v>
      </c>
      <c r="AO380" s="7" t="s">
        <v>55</v>
      </c>
      <c r="AP380" s="7" t="s">
        <v>56</v>
      </c>
      <c r="AT380" s="47" t="s">
        <v>57</v>
      </c>
      <c r="AU380" s="47" t="s">
        <v>57</v>
      </c>
    </row>
    <row r="381" spans="1:47">
      <c r="A381" s="4" t="s">
        <v>48</v>
      </c>
      <c r="C381" s="21"/>
      <c r="D381" s="22" t="s">
        <v>49</v>
      </c>
      <c r="G381" s="23">
        <v>45090</v>
      </c>
      <c r="H381" s="24" t="s">
        <v>1182</v>
      </c>
      <c r="J381" s="28" t="s">
        <v>51</v>
      </c>
      <c r="L381" s="24" t="s">
        <v>1183</v>
      </c>
      <c r="M381" s="1" t="str">
        <f>"341202194810111919"</f>
        <v>341202194810111919</v>
      </c>
      <c r="N381" s="24" t="s">
        <v>1183</v>
      </c>
      <c r="O381" s="1" t="str">
        <f>"341202194810111919"</f>
        <v>341202194810111919</v>
      </c>
      <c r="P381" s="23" t="s">
        <v>1184</v>
      </c>
      <c r="Q381" s="23">
        <v>45091</v>
      </c>
      <c r="R381" s="32">
        <v>45457</v>
      </c>
      <c r="V381" s="33">
        <v>1000</v>
      </c>
      <c r="W381" s="28">
        <v>64.29</v>
      </c>
      <c r="X381" s="34" t="s">
        <v>54</v>
      </c>
      <c r="Y381" s="33">
        <v>642.9</v>
      </c>
      <c r="AC381" s="28">
        <v>64.29</v>
      </c>
      <c r="AD381" s="34" t="s">
        <v>54</v>
      </c>
      <c r="AE381" s="33">
        <v>642.9</v>
      </c>
      <c r="AN381" s="7" t="s">
        <v>54</v>
      </c>
      <c r="AO381" s="7" t="s">
        <v>55</v>
      </c>
      <c r="AP381" s="7" t="s">
        <v>56</v>
      </c>
      <c r="AT381" s="47" t="s">
        <v>57</v>
      </c>
      <c r="AU381" s="47" t="s">
        <v>57</v>
      </c>
    </row>
    <row r="382" spans="1:47">
      <c r="A382" s="4" t="s">
        <v>48</v>
      </c>
      <c r="C382" s="21"/>
      <c r="D382" s="22" t="s">
        <v>49</v>
      </c>
      <c r="G382" s="23">
        <v>45087</v>
      </c>
      <c r="H382" s="24" t="s">
        <v>1185</v>
      </c>
      <c r="J382" s="28" t="s">
        <v>51</v>
      </c>
      <c r="L382" s="24" t="s">
        <v>1186</v>
      </c>
      <c r="M382" s="1" t="str">
        <f>"341226198711021087"</f>
        <v>341226198711021087</v>
      </c>
      <c r="N382" s="24" t="s">
        <v>1186</v>
      </c>
      <c r="O382" s="1" t="str">
        <f>"341226198711021087"</f>
        <v>341226198711021087</v>
      </c>
      <c r="P382" s="23" t="s">
        <v>1187</v>
      </c>
      <c r="Q382" s="23">
        <v>45088</v>
      </c>
      <c r="R382" s="32">
        <v>45454</v>
      </c>
      <c r="V382" s="33">
        <v>50</v>
      </c>
      <c r="W382" s="28">
        <v>64.29</v>
      </c>
      <c r="X382" s="34" t="s">
        <v>54</v>
      </c>
      <c r="Y382" s="33">
        <v>32.15</v>
      </c>
      <c r="AC382" s="28">
        <v>64.29</v>
      </c>
      <c r="AD382" s="34" t="s">
        <v>54</v>
      </c>
      <c r="AE382" s="33">
        <v>32.15</v>
      </c>
      <c r="AN382" s="7" t="s">
        <v>54</v>
      </c>
      <c r="AO382" s="7" t="s">
        <v>55</v>
      </c>
      <c r="AP382" s="7" t="s">
        <v>56</v>
      </c>
      <c r="AT382" s="47" t="s">
        <v>57</v>
      </c>
      <c r="AU382" s="47" t="s">
        <v>57</v>
      </c>
    </row>
    <row r="383" spans="1:47">
      <c r="A383" s="4" t="s">
        <v>48</v>
      </c>
      <c r="C383" s="21"/>
      <c r="D383" s="22" t="s">
        <v>49</v>
      </c>
      <c r="G383" s="23">
        <v>45097</v>
      </c>
      <c r="H383" s="24" t="s">
        <v>1188</v>
      </c>
      <c r="J383" s="28" t="s">
        <v>51</v>
      </c>
      <c r="L383" s="24" t="s">
        <v>1189</v>
      </c>
      <c r="M383" s="1" t="str">
        <f>"120222197311150822"</f>
        <v>120222197311150822</v>
      </c>
      <c r="N383" s="24" t="s">
        <v>1189</v>
      </c>
      <c r="O383" s="1" t="str">
        <f>"120222197311150822"</f>
        <v>120222197311150822</v>
      </c>
      <c r="P383" s="23" t="s">
        <v>1190</v>
      </c>
      <c r="Q383" s="23">
        <v>45098</v>
      </c>
      <c r="R383" s="32">
        <v>45464</v>
      </c>
      <c r="V383" s="33">
        <v>100</v>
      </c>
      <c r="W383" s="28">
        <v>64.29</v>
      </c>
      <c r="X383" s="34" t="s">
        <v>54</v>
      </c>
      <c r="Y383" s="33">
        <v>64.29</v>
      </c>
      <c r="AC383" s="28">
        <v>64.29</v>
      </c>
      <c r="AD383" s="34" t="s">
        <v>54</v>
      </c>
      <c r="AE383" s="33">
        <v>64.29</v>
      </c>
      <c r="AN383" s="7" t="s">
        <v>54</v>
      </c>
      <c r="AO383" s="7" t="s">
        <v>55</v>
      </c>
      <c r="AP383" s="7" t="s">
        <v>56</v>
      </c>
      <c r="AT383" s="47" t="s">
        <v>57</v>
      </c>
      <c r="AU383" s="47" t="s">
        <v>57</v>
      </c>
    </row>
    <row r="384" spans="1:47">
      <c r="A384" s="4" t="s">
        <v>48</v>
      </c>
      <c r="C384" s="21"/>
      <c r="D384" s="22" t="s">
        <v>49</v>
      </c>
      <c r="G384" s="23">
        <v>45096</v>
      </c>
      <c r="H384" s="24" t="s">
        <v>1191</v>
      </c>
      <c r="J384" s="28" t="s">
        <v>51</v>
      </c>
      <c r="L384" s="24" t="s">
        <v>1192</v>
      </c>
      <c r="M384" s="1" t="str">
        <f>"341202198110101910"</f>
        <v>341202198110101910</v>
      </c>
      <c r="N384" s="24" t="s">
        <v>1192</v>
      </c>
      <c r="O384" s="1" t="str">
        <f>"341202198110101910"</f>
        <v>341202198110101910</v>
      </c>
      <c r="P384" s="23" t="s">
        <v>1193</v>
      </c>
      <c r="Q384" s="23">
        <v>45097</v>
      </c>
      <c r="R384" s="32">
        <v>45463</v>
      </c>
      <c r="V384" s="33">
        <v>100</v>
      </c>
      <c r="W384" s="28">
        <v>64.29</v>
      </c>
      <c r="X384" s="34" t="s">
        <v>54</v>
      </c>
      <c r="Y384" s="33">
        <v>64.29</v>
      </c>
      <c r="AC384" s="28">
        <v>64.29</v>
      </c>
      <c r="AD384" s="34" t="s">
        <v>54</v>
      </c>
      <c r="AE384" s="33">
        <v>64.29</v>
      </c>
      <c r="AN384" s="7" t="s">
        <v>54</v>
      </c>
      <c r="AO384" s="7" t="s">
        <v>55</v>
      </c>
      <c r="AP384" s="7" t="s">
        <v>56</v>
      </c>
      <c r="AT384" s="47" t="s">
        <v>57</v>
      </c>
      <c r="AU384" s="47" t="s">
        <v>57</v>
      </c>
    </row>
    <row r="385" spans="1:47">
      <c r="A385" s="4" t="s">
        <v>48</v>
      </c>
      <c r="C385" s="21"/>
      <c r="D385" s="22" t="s">
        <v>49</v>
      </c>
      <c r="G385" s="23">
        <v>45097</v>
      </c>
      <c r="H385" s="24" t="s">
        <v>1194</v>
      </c>
      <c r="J385" s="28" t="s">
        <v>51</v>
      </c>
      <c r="L385" s="24" t="s">
        <v>1195</v>
      </c>
      <c r="M385" s="1" t="str">
        <f>"132822196011062021"</f>
        <v>132822196011062021</v>
      </c>
      <c r="N385" s="24" t="s">
        <v>1195</v>
      </c>
      <c r="O385" s="1" t="str">
        <f>"132822196011062021"</f>
        <v>132822196011062021</v>
      </c>
      <c r="P385" s="23" t="s">
        <v>1196</v>
      </c>
      <c r="Q385" s="23">
        <v>45098</v>
      </c>
      <c r="R385" s="32">
        <v>45464</v>
      </c>
      <c r="V385" s="33">
        <v>100</v>
      </c>
      <c r="W385" s="28">
        <v>64.29</v>
      </c>
      <c r="X385" s="34" t="s">
        <v>54</v>
      </c>
      <c r="Y385" s="33">
        <v>64.29</v>
      </c>
      <c r="AC385" s="28">
        <v>64.29</v>
      </c>
      <c r="AD385" s="34" t="s">
        <v>54</v>
      </c>
      <c r="AE385" s="33">
        <v>64.29</v>
      </c>
      <c r="AN385" s="7" t="s">
        <v>54</v>
      </c>
      <c r="AO385" s="7" t="s">
        <v>55</v>
      </c>
      <c r="AP385" s="7" t="s">
        <v>56</v>
      </c>
      <c r="AT385" s="47" t="s">
        <v>57</v>
      </c>
      <c r="AU385" s="47" t="s">
        <v>57</v>
      </c>
    </row>
    <row r="386" spans="1:47">
      <c r="A386" s="4" t="s">
        <v>48</v>
      </c>
      <c r="C386" s="21"/>
      <c r="D386" s="22" t="s">
        <v>49</v>
      </c>
      <c r="G386" s="23">
        <v>45086</v>
      </c>
      <c r="H386" s="24" t="s">
        <v>1197</v>
      </c>
      <c r="J386" s="28" t="s">
        <v>51</v>
      </c>
      <c r="L386" s="24" t="s">
        <v>1198</v>
      </c>
      <c r="M386" s="1" t="str">
        <f>"220203198909145429"</f>
        <v>220203198909145429</v>
      </c>
      <c r="N386" s="24" t="s">
        <v>1198</v>
      </c>
      <c r="O386" s="1" t="str">
        <f>"220203198909145429"</f>
        <v>220203198909145429</v>
      </c>
      <c r="P386" s="23" t="s">
        <v>1199</v>
      </c>
      <c r="Q386" s="23">
        <v>45087</v>
      </c>
      <c r="R386" s="32">
        <v>45453</v>
      </c>
      <c r="V386" s="33">
        <v>100</v>
      </c>
      <c r="W386" s="28">
        <v>64.29</v>
      </c>
      <c r="X386" s="34" t="s">
        <v>54</v>
      </c>
      <c r="Y386" s="33">
        <v>64.29</v>
      </c>
      <c r="AC386" s="28">
        <v>64.29</v>
      </c>
      <c r="AD386" s="34" t="s">
        <v>54</v>
      </c>
      <c r="AE386" s="33">
        <v>64.29</v>
      </c>
      <c r="AN386" s="7" t="s">
        <v>54</v>
      </c>
      <c r="AO386" s="7" t="s">
        <v>55</v>
      </c>
      <c r="AP386" s="7" t="s">
        <v>56</v>
      </c>
      <c r="AT386" s="47" t="s">
        <v>57</v>
      </c>
      <c r="AU386" s="47" t="s">
        <v>57</v>
      </c>
    </row>
    <row r="387" spans="1:47">
      <c r="A387" s="4" t="s">
        <v>48</v>
      </c>
      <c r="C387" s="21"/>
      <c r="D387" s="22" t="s">
        <v>49</v>
      </c>
      <c r="G387" s="23">
        <v>45086</v>
      </c>
      <c r="H387" s="24" t="s">
        <v>1200</v>
      </c>
      <c r="J387" s="28" t="s">
        <v>51</v>
      </c>
      <c r="L387" s="24" t="s">
        <v>1201</v>
      </c>
      <c r="M387" s="1" t="str">
        <f>"211422199311244418"</f>
        <v>211422199311244418</v>
      </c>
      <c r="N387" s="24" t="s">
        <v>1201</v>
      </c>
      <c r="O387" s="1" t="str">
        <f>"211422199311244418"</f>
        <v>211422199311244418</v>
      </c>
      <c r="P387" s="23" t="s">
        <v>1202</v>
      </c>
      <c r="Q387" s="23">
        <v>45291</v>
      </c>
      <c r="R387" s="32">
        <v>45657</v>
      </c>
      <c r="V387" s="33">
        <v>100</v>
      </c>
      <c r="W387" s="28">
        <v>64.29</v>
      </c>
      <c r="X387" s="34" t="s">
        <v>54</v>
      </c>
      <c r="Y387" s="33">
        <v>64.29</v>
      </c>
      <c r="AC387" s="28">
        <v>64.29</v>
      </c>
      <c r="AD387" s="34" t="s">
        <v>54</v>
      </c>
      <c r="AE387" s="33">
        <v>64.29</v>
      </c>
      <c r="AN387" s="7" t="s">
        <v>54</v>
      </c>
      <c r="AO387" s="7" t="s">
        <v>55</v>
      </c>
      <c r="AP387" s="7" t="s">
        <v>56</v>
      </c>
      <c r="AT387" s="47" t="s">
        <v>57</v>
      </c>
      <c r="AU387" s="47" t="s">
        <v>57</v>
      </c>
    </row>
    <row r="388" spans="1:47">
      <c r="A388" s="4" t="s">
        <v>48</v>
      </c>
      <c r="C388" s="21"/>
      <c r="D388" s="22" t="s">
        <v>49</v>
      </c>
      <c r="G388" s="23">
        <v>45072</v>
      </c>
      <c r="H388" s="24" t="s">
        <v>1203</v>
      </c>
      <c r="J388" s="28" t="s">
        <v>51</v>
      </c>
      <c r="L388" s="24" t="s">
        <v>1204</v>
      </c>
      <c r="M388" s="1" t="str">
        <f>"330324199103235190"</f>
        <v>330324199103235190</v>
      </c>
      <c r="N388" s="24" t="s">
        <v>1204</v>
      </c>
      <c r="O388" s="1" t="str">
        <f>"330324199103235190"</f>
        <v>330324199103235190</v>
      </c>
      <c r="P388" s="23" t="s">
        <v>1205</v>
      </c>
      <c r="Q388" s="23">
        <v>45073</v>
      </c>
      <c r="R388" s="32">
        <v>45439</v>
      </c>
      <c r="V388" s="33">
        <v>100</v>
      </c>
      <c r="W388" s="28">
        <v>64.29</v>
      </c>
      <c r="X388" s="34" t="s">
        <v>54</v>
      </c>
      <c r="Y388" s="33">
        <v>64.29</v>
      </c>
      <c r="AC388" s="28">
        <v>64.29</v>
      </c>
      <c r="AD388" s="34" t="s">
        <v>54</v>
      </c>
      <c r="AE388" s="33">
        <v>64.29</v>
      </c>
      <c r="AN388" s="7" t="s">
        <v>54</v>
      </c>
      <c r="AO388" s="7" t="s">
        <v>55</v>
      </c>
      <c r="AP388" s="7" t="s">
        <v>56</v>
      </c>
      <c r="AT388" s="47" t="s">
        <v>57</v>
      </c>
      <c r="AU388" s="47" t="s">
        <v>57</v>
      </c>
    </row>
    <row r="389" spans="1:47">
      <c r="A389" s="4" t="s">
        <v>48</v>
      </c>
      <c r="C389" s="21"/>
      <c r="D389" s="22" t="s">
        <v>49</v>
      </c>
      <c r="G389" s="23">
        <v>45072</v>
      </c>
      <c r="H389" s="24" t="s">
        <v>1206</v>
      </c>
      <c r="J389" s="28" t="s">
        <v>51</v>
      </c>
      <c r="L389" s="24" t="s">
        <v>1207</v>
      </c>
      <c r="M389" s="1" t="str">
        <f>"132826196605042015"</f>
        <v>132826196605042015</v>
      </c>
      <c r="N389" s="24" t="s">
        <v>1207</v>
      </c>
      <c r="O389" s="1" t="str">
        <f>"132826196605042015"</f>
        <v>132826196605042015</v>
      </c>
      <c r="P389" s="23" t="s">
        <v>1208</v>
      </c>
      <c r="Q389" s="23">
        <v>45073</v>
      </c>
      <c r="R389" s="32">
        <v>45439</v>
      </c>
      <c r="V389" s="33">
        <v>100</v>
      </c>
      <c r="W389" s="28">
        <v>64.29</v>
      </c>
      <c r="X389" s="34" t="s">
        <v>54</v>
      </c>
      <c r="Y389" s="33">
        <v>64.29</v>
      </c>
      <c r="AC389" s="28">
        <v>64.29</v>
      </c>
      <c r="AD389" s="34" t="s">
        <v>54</v>
      </c>
      <c r="AE389" s="33">
        <v>64.29</v>
      </c>
      <c r="AN389" s="7" t="s">
        <v>54</v>
      </c>
      <c r="AO389" s="7" t="s">
        <v>55</v>
      </c>
      <c r="AP389" s="7" t="s">
        <v>56</v>
      </c>
      <c r="AT389" s="47" t="s">
        <v>57</v>
      </c>
      <c r="AU389" s="47" t="s">
        <v>57</v>
      </c>
    </row>
    <row r="390" spans="1:47">
      <c r="A390" s="4" t="s">
        <v>48</v>
      </c>
      <c r="C390" s="21"/>
      <c r="D390" s="22" t="s">
        <v>49</v>
      </c>
      <c r="G390" s="23">
        <v>45087</v>
      </c>
      <c r="H390" s="24" t="s">
        <v>1209</v>
      </c>
      <c r="J390" s="28" t="s">
        <v>51</v>
      </c>
      <c r="L390" s="24" t="s">
        <v>1210</v>
      </c>
      <c r="M390" s="1" t="str">
        <f>"131022198710202024"</f>
        <v>131022198710202024</v>
      </c>
      <c r="N390" s="24" t="s">
        <v>1210</v>
      </c>
      <c r="O390" s="1" t="str">
        <f>"131022198710202024"</f>
        <v>131022198710202024</v>
      </c>
      <c r="P390" s="23" t="s">
        <v>1211</v>
      </c>
      <c r="Q390" s="23">
        <v>45088</v>
      </c>
      <c r="R390" s="32">
        <v>45454</v>
      </c>
      <c r="V390" s="33">
        <v>50</v>
      </c>
      <c r="W390" s="28">
        <v>64.29</v>
      </c>
      <c r="X390" s="34" t="s">
        <v>54</v>
      </c>
      <c r="Y390" s="33">
        <v>32.15</v>
      </c>
      <c r="AC390" s="28">
        <v>64.29</v>
      </c>
      <c r="AD390" s="34" t="s">
        <v>54</v>
      </c>
      <c r="AE390" s="33">
        <v>32.15</v>
      </c>
      <c r="AN390" s="7" t="s">
        <v>54</v>
      </c>
      <c r="AO390" s="7" t="s">
        <v>55</v>
      </c>
      <c r="AP390" s="7" t="s">
        <v>56</v>
      </c>
      <c r="AT390" s="47" t="s">
        <v>57</v>
      </c>
      <c r="AU390" s="47" t="s">
        <v>57</v>
      </c>
    </row>
    <row r="391" spans="1:47">
      <c r="A391" s="4" t="s">
        <v>48</v>
      </c>
      <c r="C391" s="21"/>
      <c r="D391" s="22" t="s">
        <v>49</v>
      </c>
      <c r="G391" s="23">
        <v>45096</v>
      </c>
      <c r="H391" s="24" t="s">
        <v>1212</v>
      </c>
      <c r="J391" s="28" t="s">
        <v>51</v>
      </c>
      <c r="L391" s="24" t="s">
        <v>1213</v>
      </c>
      <c r="M391" s="1" t="str">
        <f>"131022198703255427"</f>
        <v>131022198703255427</v>
      </c>
      <c r="N391" s="24" t="s">
        <v>1213</v>
      </c>
      <c r="O391" s="1" t="str">
        <f>"131022198703255427"</f>
        <v>131022198703255427</v>
      </c>
      <c r="P391" s="23" t="s">
        <v>1214</v>
      </c>
      <c r="Q391" s="23">
        <v>45097</v>
      </c>
      <c r="R391" s="32">
        <v>45463</v>
      </c>
      <c r="V391" s="33">
        <v>100</v>
      </c>
      <c r="W391" s="28">
        <v>64.29</v>
      </c>
      <c r="X391" s="34" t="s">
        <v>54</v>
      </c>
      <c r="Y391" s="33">
        <v>64.29</v>
      </c>
      <c r="AC391" s="28">
        <v>64.29</v>
      </c>
      <c r="AD391" s="34" t="s">
        <v>54</v>
      </c>
      <c r="AE391" s="33">
        <v>64.29</v>
      </c>
      <c r="AN391" s="7" t="s">
        <v>54</v>
      </c>
      <c r="AO391" s="7" t="s">
        <v>55</v>
      </c>
      <c r="AP391" s="7" t="s">
        <v>56</v>
      </c>
      <c r="AT391" s="47" t="s">
        <v>57</v>
      </c>
      <c r="AU391" s="47" t="s">
        <v>57</v>
      </c>
    </row>
    <row r="392" spans="1:47">
      <c r="A392" s="4" t="s">
        <v>48</v>
      </c>
      <c r="C392" s="21"/>
      <c r="D392" s="22" t="s">
        <v>49</v>
      </c>
      <c r="G392" s="23">
        <v>45097</v>
      </c>
      <c r="H392" s="24" t="s">
        <v>1215</v>
      </c>
      <c r="J392" s="28" t="s">
        <v>51</v>
      </c>
      <c r="L392" s="24" t="s">
        <v>1216</v>
      </c>
      <c r="M392" s="1" t="str">
        <f>"211421198610235422"</f>
        <v>211421198610235422</v>
      </c>
      <c r="N392" s="24" t="s">
        <v>1216</v>
      </c>
      <c r="O392" s="1" t="str">
        <f>"211421198610235422"</f>
        <v>211421198610235422</v>
      </c>
      <c r="P392" s="23" t="s">
        <v>1217</v>
      </c>
      <c r="Q392" s="23">
        <v>45098</v>
      </c>
      <c r="R392" s="32">
        <v>45464</v>
      </c>
      <c r="V392" s="33">
        <v>100</v>
      </c>
      <c r="W392" s="28">
        <v>64.29</v>
      </c>
      <c r="X392" s="34" t="s">
        <v>54</v>
      </c>
      <c r="Y392" s="33">
        <v>64.29</v>
      </c>
      <c r="AC392" s="28">
        <v>64.29</v>
      </c>
      <c r="AD392" s="34" t="s">
        <v>54</v>
      </c>
      <c r="AE392" s="33">
        <v>64.29</v>
      </c>
      <c r="AN392" s="7" t="s">
        <v>54</v>
      </c>
      <c r="AO392" s="7" t="s">
        <v>55</v>
      </c>
      <c r="AP392" s="7" t="s">
        <v>56</v>
      </c>
      <c r="AT392" s="47" t="s">
        <v>57</v>
      </c>
      <c r="AU392" s="47" t="s">
        <v>57</v>
      </c>
    </row>
    <row r="393" spans="1:47">
      <c r="A393" s="4" t="s">
        <v>48</v>
      </c>
      <c r="C393" s="21"/>
      <c r="D393" s="22" t="s">
        <v>49</v>
      </c>
      <c r="G393" s="23">
        <v>45096</v>
      </c>
      <c r="H393" s="24" t="s">
        <v>1218</v>
      </c>
      <c r="J393" s="28" t="s">
        <v>51</v>
      </c>
      <c r="L393" s="24" t="s">
        <v>1219</v>
      </c>
      <c r="M393" s="1" t="str">
        <f>"131082197105160411"</f>
        <v>131082197105160411</v>
      </c>
      <c r="N393" s="24" t="s">
        <v>1219</v>
      </c>
      <c r="O393" s="1" t="str">
        <f>"131082197105160411"</f>
        <v>131082197105160411</v>
      </c>
      <c r="P393" s="23" t="s">
        <v>1220</v>
      </c>
      <c r="Q393" s="23">
        <v>45307</v>
      </c>
      <c r="R393" s="32">
        <v>45673</v>
      </c>
      <c r="V393" s="33">
        <v>100</v>
      </c>
      <c r="W393" s="28">
        <v>64.29</v>
      </c>
      <c r="X393" s="34" t="s">
        <v>54</v>
      </c>
      <c r="Y393" s="33">
        <v>64.29</v>
      </c>
      <c r="AC393" s="28">
        <v>64.29</v>
      </c>
      <c r="AD393" s="34" t="s">
        <v>54</v>
      </c>
      <c r="AE393" s="33">
        <v>64.29</v>
      </c>
      <c r="AN393" s="7" t="s">
        <v>54</v>
      </c>
      <c r="AO393" s="7" t="s">
        <v>55</v>
      </c>
      <c r="AP393" s="7" t="s">
        <v>56</v>
      </c>
      <c r="AT393" s="47" t="s">
        <v>57</v>
      </c>
      <c r="AU393" s="47" t="s">
        <v>57</v>
      </c>
    </row>
    <row r="394" spans="1:47">
      <c r="A394" s="4" t="s">
        <v>48</v>
      </c>
      <c r="C394" s="21"/>
      <c r="D394" s="22" t="s">
        <v>49</v>
      </c>
      <c r="G394" s="23">
        <v>45085</v>
      </c>
      <c r="H394" s="24" t="s">
        <v>1221</v>
      </c>
      <c r="J394" s="28" t="s">
        <v>51</v>
      </c>
      <c r="L394" s="24" t="s">
        <v>1222</v>
      </c>
      <c r="M394" s="1" t="str">
        <f>"131022198705032024"</f>
        <v>131022198705032024</v>
      </c>
      <c r="N394" s="24" t="s">
        <v>1222</v>
      </c>
      <c r="O394" s="1" t="str">
        <f>"131022198705032024"</f>
        <v>131022198705032024</v>
      </c>
      <c r="P394" s="23" t="s">
        <v>1223</v>
      </c>
      <c r="Q394" s="23">
        <v>45086</v>
      </c>
      <c r="R394" s="32">
        <v>45452</v>
      </c>
      <c r="V394" s="33">
        <v>100</v>
      </c>
      <c r="W394" s="28">
        <v>64.29</v>
      </c>
      <c r="X394" s="34" t="s">
        <v>54</v>
      </c>
      <c r="Y394" s="33">
        <v>64.29</v>
      </c>
      <c r="AC394" s="28">
        <v>64.29</v>
      </c>
      <c r="AD394" s="34" t="s">
        <v>54</v>
      </c>
      <c r="AE394" s="33">
        <v>64.29</v>
      </c>
      <c r="AN394" s="7" t="s">
        <v>54</v>
      </c>
      <c r="AO394" s="7" t="s">
        <v>55</v>
      </c>
      <c r="AP394" s="7" t="s">
        <v>56</v>
      </c>
      <c r="AT394" s="47" t="s">
        <v>57</v>
      </c>
      <c r="AU394" s="47" t="s">
        <v>57</v>
      </c>
    </row>
    <row r="395" spans="1:47">
      <c r="A395" s="4" t="s">
        <v>48</v>
      </c>
      <c r="C395" s="21"/>
      <c r="D395" s="22" t="s">
        <v>49</v>
      </c>
      <c r="G395" s="23">
        <v>45101</v>
      </c>
      <c r="H395" s="24" t="s">
        <v>1224</v>
      </c>
      <c r="J395" s="28" t="s">
        <v>51</v>
      </c>
      <c r="L395" s="24" t="s">
        <v>1225</v>
      </c>
      <c r="M395" s="1" t="str">
        <f>"413026198901227229"</f>
        <v>413026198901227229</v>
      </c>
      <c r="N395" s="24" t="s">
        <v>1225</v>
      </c>
      <c r="O395" s="1" t="str">
        <f>"413026198901227229"</f>
        <v>413026198901227229</v>
      </c>
      <c r="P395" s="23" t="s">
        <v>1226</v>
      </c>
      <c r="Q395" s="23">
        <v>45102</v>
      </c>
      <c r="R395" s="32">
        <v>45468</v>
      </c>
      <c r="V395" s="33">
        <v>200</v>
      </c>
      <c r="W395" s="28">
        <v>64.29</v>
      </c>
      <c r="X395" s="34" t="s">
        <v>54</v>
      </c>
      <c r="Y395" s="33">
        <v>128.58</v>
      </c>
      <c r="AC395" s="28">
        <v>64.29</v>
      </c>
      <c r="AD395" s="34" t="s">
        <v>54</v>
      </c>
      <c r="AE395" s="33">
        <v>128.58</v>
      </c>
      <c r="AN395" s="7" t="s">
        <v>54</v>
      </c>
      <c r="AO395" s="7" t="s">
        <v>55</v>
      </c>
      <c r="AP395" s="7" t="s">
        <v>56</v>
      </c>
      <c r="AT395" s="47" t="s">
        <v>57</v>
      </c>
      <c r="AU395" s="47" t="s">
        <v>57</v>
      </c>
    </row>
    <row r="396" spans="1:47">
      <c r="A396" s="4" t="s">
        <v>48</v>
      </c>
      <c r="C396" s="21"/>
      <c r="D396" s="22" t="s">
        <v>49</v>
      </c>
      <c r="G396" s="23">
        <v>45096</v>
      </c>
      <c r="H396" s="24" t="s">
        <v>1227</v>
      </c>
      <c r="J396" s="28" t="s">
        <v>51</v>
      </c>
      <c r="L396" s="24" t="s">
        <v>1228</v>
      </c>
      <c r="M396" s="1" t="str">
        <f>"211402197902040615"</f>
        <v>211402197902040615</v>
      </c>
      <c r="N396" s="24" t="s">
        <v>1228</v>
      </c>
      <c r="O396" s="1" t="str">
        <f>"211402197902040615"</f>
        <v>211402197902040615</v>
      </c>
      <c r="P396" s="23" t="s">
        <v>1229</v>
      </c>
      <c r="Q396" s="23">
        <v>45097</v>
      </c>
      <c r="R396" s="32">
        <v>45463</v>
      </c>
      <c r="V396" s="33">
        <v>200</v>
      </c>
      <c r="W396" s="28">
        <v>64.29</v>
      </c>
      <c r="X396" s="34" t="s">
        <v>54</v>
      </c>
      <c r="Y396" s="33">
        <v>128.58</v>
      </c>
      <c r="AC396" s="28">
        <v>64.29</v>
      </c>
      <c r="AD396" s="34" t="s">
        <v>54</v>
      </c>
      <c r="AE396" s="33">
        <v>128.58</v>
      </c>
      <c r="AN396" s="7" t="s">
        <v>54</v>
      </c>
      <c r="AO396" s="7" t="s">
        <v>55</v>
      </c>
      <c r="AP396" s="7" t="s">
        <v>56</v>
      </c>
      <c r="AT396" s="47" t="s">
        <v>57</v>
      </c>
      <c r="AU396" s="47" t="s">
        <v>57</v>
      </c>
    </row>
    <row r="397" spans="1:47">
      <c r="A397" s="4" t="s">
        <v>48</v>
      </c>
      <c r="C397" s="21"/>
      <c r="D397" s="22" t="s">
        <v>49</v>
      </c>
      <c r="G397" s="23">
        <v>45084</v>
      </c>
      <c r="H397" s="24" t="s">
        <v>1230</v>
      </c>
      <c r="J397" s="28" t="s">
        <v>51</v>
      </c>
      <c r="L397" s="24" t="s">
        <v>1231</v>
      </c>
      <c r="M397" s="1" t="str">
        <f>"413026199103207236"</f>
        <v>413026199103207236</v>
      </c>
      <c r="N397" s="24" t="s">
        <v>1231</v>
      </c>
      <c r="O397" s="1" t="str">
        <f>"413026199103207236"</f>
        <v>413026199103207236</v>
      </c>
      <c r="P397" s="23" t="s">
        <v>1232</v>
      </c>
      <c r="Q397" s="23">
        <v>45085</v>
      </c>
      <c r="R397" s="32">
        <v>45451</v>
      </c>
      <c r="V397" s="33">
        <v>50</v>
      </c>
      <c r="W397" s="28">
        <v>64.29</v>
      </c>
      <c r="X397" s="34" t="s">
        <v>54</v>
      </c>
      <c r="Y397" s="33">
        <v>32.15</v>
      </c>
      <c r="AC397" s="28">
        <v>64.29</v>
      </c>
      <c r="AD397" s="34" t="s">
        <v>54</v>
      </c>
      <c r="AE397" s="33">
        <v>32.15</v>
      </c>
      <c r="AN397" s="7" t="s">
        <v>54</v>
      </c>
      <c r="AO397" s="7" t="s">
        <v>55</v>
      </c>
      <c r="AP397" s="7" t="s">
        <v>56</v>
      </c>
      <c r="AT397" s="47" t="s">
        <v>57</v>
      </c>
      <c r="AU397" s="47" t="s">
        <v>57</v>
      </c>
    </row>
    <row r="398" spans="1:47">
      <c r="A398" s="4" t="s">
        <v>48</v>
      </c>
      <c r="C398" s="21"/>
      <c r="D398" s="22" t="s">
        <v>49</v>
      </c>
      <c r="G398" s="23">
        <v>45083</v>
      </c>
      <c r="H398" s="24" t="s">
        <v>1233</v>
      </c>
      <c r="J398" s="28" t="s">
        <v>51</v>
      </c>
      <c r="L398" s="24" t="s">
        <v>1234</v>
      </c>
      <c r="M398" s="1" t="str">
        <f>"130630197907244217"</f>
        <v>130630197907244217</v>
      </c>
      <c r="N398" s="24" t="s">
        <v>1234</v>
      </c>
      <c r="O398" s="1" t="str">
        <f>"130630197907244217"</f>
        <v>130630197907244217</v>
      </c>
      <c r="P398" s="23" t="s">
        <v>1235</v>
      </c>
      <c r="Q398" s="23">
        <v>45084</v>
      </c>
      <c r="R398" s="32">
        <v>45450</v>
      </c>
      <c r="V398" s="33">
        <v>50</v>
      </c>
      <c r="W398" s="28">
        <v>64.29</v>
      </c>
      <c r="X398" s="34" t="s">
        <v>54</v>
      </c>
      <c r="Y398" s="33">
        <v>32.15</v>
      </c>
      <c r="AC398" s="28">
        <v>64.29</v>
      </c>
      <c r="AD398" s="34" t="s">
        <v>54</v>
      </c>
      <c r="AE398" s="33">
        <v>32.15</v>
      </c>
      <c r="AN398" s="7" t="s">
        <v>54</v>
      </c>
      <c r="AO398" s="7" t="s">
        <v>55</v>
      </c>
      <c r="AP398" s="7" t="s">
        <v>56</v>
      </c>
      <c r="AT398" s="47" t="s">
        <v>57</v>
      </c>
      <c r="AU398" s="47" t="s">
        <v>57</v>
      </c>
    </row>
    <row r="399" spans="1:47">
      <c r="A399" s="4" t="s">
        <v>48</v>
      </c>
      <c r="C399" s="21"/>
      <c r="D399" s="22" t="s">
        <v>49</v>
      </c>
      <c r="G399" s="23">
        <v>45084</v>
      </c>
      <c r="H399" s="24" t="s">
        <v>1236</v>
      </c>
      <c r="J399" s="28" t="s">
        <v>51</v>
      </c>
      <c r="L399" s="24" t="s">
        <v>1237</v>
      </c>
      <c r="M399" s="1" t="str">
        <f>"341226199804163839"</f>
        <v>341226199804163839</v>
      </c>
      <c r="N399" s="24" t="s">
        <v>1237</v>
      </c>
      <c r="O399" s="1" t="str">
        <f>"341226199804163839"</f>
        <v>341226199804163839</v>
      </c>
      <c r="P399" s="23" t="s">
        <v>1238</v>
      </c>
      <c r="Q399" s="23">
        <v>45085</v>
      </c>
      <c r="R399" s="32">
        <v>45451</v>
      </c>
      <c r="V399" s="33">
        <v>50</v>
      </c>
      <c r="W399" s="28">
        <v>64.29</v>
      </c>
      <c r="X399" s="34" t="s">
        <v>54</v>
      </c>
      <c r="Y399" s="33">
        <v>32.15</v>
      </c>
      <c r="AC399" s="28">
        <v>64.29</v>
      </c>
      <c r="AD399" s="34" t="s">
        <v>54</v>
      </c>
      <c r="AE399" s="33">
        <v>32.15</v>
      </c>
      <c r="AN399" s="7" t="s">
        <v>54</v>
      </c>
      <c r="AO399" s="7" t="s">
        <v>55</v>
      </c>
      <c r="AP399" s="7" t="s">
        <v>56</v>
      </c>
      <c r="AT399" s="47" t="s">
        <v>57</v>
      </c>
      <c r="AU399" s="47" t="s">
        <v>57</v>
      </c>
    </row>
    <row r="400" spans="1:47">
      <c r="A400" s="4" t="s">
        <v>48</v>
      </c>
      <c r="C400" s="21"/>
      <c r="D400" s="22" t="s">
        <v>49</v>
      </c>
      <c r="G400" s="23">
        <v>45083</v>
      </c>
      <c r="H400" s="24" t="s">
        <v>1239</v>
      </c>
      <c r="J400" s="28" t="s">
        <v>51</v>
      </c>
      <c r="L400" s="24" t="s">
        <v>1240</v>
      </c>
      <c r="M400" s="1" t="str">
        <f>"132530197906010642"</f>
        <v>132530197906010642</v>
      </c>
      <c r="N400" s="24" t="s">
        <v>1240</v>
      </c>
      <c r="O400" s="1" t="str">
        <f>"132530197906010642"</f>
        <v>132530197906010642</v>
      </c>
      <c r="P400" s="23" t="s">
        <v>1241</v>
      </c>
      <c r="Q400" s="23">
        <v>45084</v>
      </c>
      <c r="R400" s="32">
        <v>45450</v>
      </c>
      <c r="V400" s="33">
        <v>50</v>
      </c>
      <c r="W400" s="28">
        <v>64.29</v>
      </c>
      <c r="X400" s="34" t="s">
        <v>54</v>
      </c>
      <c r="Y400" s="33">
        <v>32.15</v>
      </c>
      <c r="AC400" s="28">
        <v>64.29</v>
      </c>
      <c r="AD400" s="34" t="s">
        <v>54</v>
      </c>
      <c r="AE400" s="33">
        <v>32.15</v>
      </c>
      <c r="AN400" s="7" t="s">
        <v>54</v>
      </c>
      <c r="AO400" s="7" t="s">
        <v>55</v>
      </c>
      <c r="AP400" s="7" t="s">
        <v>56</v>
      </c>
      <c r="AT400" s="47" t="s">
        <v>57</v>
      </c>
      <c r="AU400" s="47" t="s">
        <v>57</v>
      </c>
    </row>
    <row r="401" spans="1:47">
      <c r="A401" s="4" t="s">
        <v>48</v>
      </c>
      <c r="C401" s="21"/>
      <c r="D401" s="22" t="s">
        <v>49</v>
      </c>
      <c r="G401" s="23">
        <v>45096</v>
      </c>
      <c r="H401" s="24" t="s">
        <v>1242</v>
      </c>
      <c r="J401" s="28" t="s">
        <v>51</v>
      </c>
      <c r="L401" s="24" t="s">
        <v>1243</v>
      </c>
      <c r="M401" s="1" t="str">
        <f>"130731199007020024"</f>
        <v>130731199007020024</v>
      </c>
      <c r="N401" s="24" t="s">
        <v>1243</v>
      </c>
      <c r="O401" s="1" t="str">
        <f>"130731199007020024"</f>
        <v>130731199007020024</v>
      </c>
      <c r="P401" s="23" t="s">
        <v>1244</v>
      </c>
      <c r="Q401" s="23">
        <v>45235</v>
      </c>
      <c r="R401" s="32">
        <v>45601</v>
      </c>
      <c r="V401" s="33">
        <v>100</v>
      </c>
      <c r="W401" s="28">
        <v>64.29</v>
      </c>
      <c r="X401" s="34" t="s">
        <v>54</v>
      </c>
      <c r="Y401" s="33">
        <v>64.29</v>
      </c>
      <c r="AC401" s="28">
        <v>64.29</v>
      </c>
      <c r="AD401" s="34" t="s">
        <v>54</v>
      </c>
      <c r="AE401" s="33">
        <v>64.29</v>
      </c>
      <c r="AN401" s="7" t="s">
        <v>54</v>
      </c>
      <c r="AO401" s="7" t="s">
        <v>55</v>
      </c>
      <c r="AP401" s="7" t="s">
        <v>56</v>
      </c>
      <c r="AT401" s="47" t="s">
        <v>57</v>
      </c>
      <c r="AU401" s="47" t="s">
        <v>57</v>
      </c>
    </row>
    <row r="402" spans="1:47">
      <c r="A402" s="4" t="s">
        <v>48</v>
      </c>
      <c r="C402" s="21"/>
      <c r="D402" s="22" t="s">
        <v>49</v>
      </c>
      <c r="G402" s="23">
        <v>45093</v>
      </c>
      <c r="H402" s="24" t="s">
        <v>1245</v>
      </c>
      <c r="J402" s="28" t="s">
        <v>51</v>
      </c>
      <c r="L402" s="24" t="s">
        <v>1246</v>
      </c>
      <c r="M402" s="1" t="str">
        <f>"413025197008205763"</f>
        <v>413025197008205763</v>
      </c>
      <c r="N402" s="24" t="s">
        <v>1246</v>
      </c>
      <c r="O402" s="1" t="str">
        <f>"413025197008205763"</f>
        <v>413025197008205763</v>
      </c>
      <c r="P402" s="23" t="s">
        <v>1247</v>
      </c>
      <c r="Q402" s="23">
        <v>45292</v>
      </c>
      <c r="R402" s="32">
        <v>45658</v>
      </c>
      <c r="V402" s="33">
        <v>100</v>
      </c>
      <c r="W402" s="28">
        <v>64.29</v>
      </c>
      <c r="X402" s="34" t="s">
        <v>54</v>
      </c>
      <c r="Y402" s="33">
        <v>64.29</v>
      </c>
      <c r="AC402" s="28">
        <v>64.29</v>
      </c>
      <c r="AD402" s="34" t="s">
        <v>54</v>
      </c>
      <c r="AE402" s="33">
        <v>64.29</v>
      </c>
      <c r="AN402" s="7" t="s">
        <v>54</v>
      </c>
      <c r="AO402" s="7" t="s">
        <v>55</v>
      </c>
      <c r="AP402" s="7" t="s">
        <v>56</v>
      </c>
      <c r="AT402" s="47" t="s">
        <v>57</v>
      </c>
      <c r="AU402" s="47" t="s">
        <v>57</v>
      </c>
    </row>
    <row r="403" spans="1:47">
      <c r="A403" s="4" t="s">
        <v>48</v>
      </c>
      <c r="C403" s="21"/>
      <c r="D403" s="22" t="s">
        <v>49</v>
      </c>
      <c r="G403" s="23">
        <v>45096</v>
      </c>
      <c r="H403" s="24" t="s">
        <v>1248</v>
      </c>
      <c r="J403" s="28" t="s">
        <v>51</v>
      </c>
      <c r="L403" s="24" t="s">
        <v>1249</v>
      </c>
      <c r="M403" s="1" t="str">
        <f>"211421198204160824"</f>
        <v>211421198204160824</v>
      </c>
      <c r="N403" s="24" t="s">
        <v>1249</v>
      </c>
      <c r="O403" s="1" t="str">
        <f>"211421198204160824"</f>
        <v>211421198204160824</v>
      </c>
      <c r="P403" s="23" t="s">
        <v>1250</v>
      </c>
      <c r="Q403" s="23">
        <v>45097</v>
      </c>
      <c r="R403" s="32">
        <v>45463</v>
      </c>
      <c r="V403" s="33">
        <v>100</v>
      </c>
      <c r="W403" s="28">
        <v>64.29</v>
      </c>
      <c r="X403" s="34" t="s">
        <v>54</v>
      </c>
      <c r="Y403" s="33">
        <v>64.29</v>
      </c>
      <c r="AC403" s="28">
        <v>64.29</v>
      </c>
      <c r="AD403" s="34" t="s">
        <v>54</v>
      </c>
      <c r="AE403" s="33">
        <v>64.29</v>
      </c>
      <c r="AN403" s="7" t="s">
        <v>54</v>
      </c>
      <c r="AO403" s="7" t="s">
        <v>55</v>
      </c>
      <c r="AP403" s="7" t="s">
        <v>56</v>
      </c>
      <c r="AT403" s="47" t="s">
        <v>57</v>
      </c>
      <c r="AU403" s="47" t="s">
        <v>57</v>
      </c>
    </row>
    <row r="404" spans="1:47">
      <c r="A404" s="4" t="s">
        <v>48</v>
      </c>
      <c r="C404" s="21"/>
      <c r="D404" s="22" t="s">
        <v>49</v>
      </c>
      <c r="G404" s="23">
        <v>45083</v>
      </c>
      <c r="H404" s="24" t="s">
        <v>1251</v>
      </c>
      <c r="J404" s="28" t="s">
        <v>51</v>
      </c>
      <c r="L404" s="24" t="s">
        <v>1252</v>
      </c>
      <c r="M404" s="1" t="str">
        <f>"430624197202019734"</f>
        <v>430624197202019734</v>
      </c>
      <c r="N404" s="24" t="s">
        <v>1252</v>
      </c>
      <c r="O404" s="1" t="str">
        <f>"430624197202019734"</f>
        <v>430624197202019734</v>
      </c>
      <c r="P404" s="23" t="s">
        <v>1253</v>
      </c>
      <c r="Q404" s="23">
        <v>45084</v>
      </c>
      <c r="R404" s="32">
        <v>45450</v>
      </c>
      <c r="V404" s="33">
        <v>100</v>
      </c>
      <c r="W404" s="28">
        <v>64.29</v>
      </c>
      <c r="X404" s="34" t="s">
        <v>54</v>
      </c>
      <c r="Y404" s="33">
        <v>64.29</v>
      </c>
      <c r="AC404" s="28">
        <v>64.29</v>
      </c>
      <c r="AD404" s="34" t="s">
        <v>54</v>
      </c>
      <c r="AE404" s="33">
        <v>64.29</v>
      </c>
      <c r="AN404" s="7" t="s">
        <v>54</v>
      </c>
      <c r="AO404" s="7" t="s">
        <v>55</v>
      </c>
      <c r="AP404" s="7" t="s">
        <v>56</v>
      </c>
      <c r="AT404" s="47" t="s">
        <v>57</v>
      </c>
      <c r="AU404" s="47" t="s">
        <v>57</v>
      </c>
    </row>
    <row r="405" spans="1:47">
      <c r="A405" s="4" t="s">
        <v>48</v>
      </c>
      <c r="C405" s="21"/>
      <c r="D405" s="22" t="s">
        <v>49</v>
      </c>
      <c r="G405" s="23">
        <v>45083</v>
      </c>
      <c r="H405" s="24" t="s">
        <v>1254</v>
      </c>
      <c r="J405" s="28" t="s">
        <v>51</v>
      </c>
      <c r="L405" s="24" t="s">
        <v>1255</v>
      </c>
      <c r="M405" s="1" t="str">
        <f>"341225198302280049"</f>
        <v>341225198302280049</v>
      </c>
      <c r="N405" s="24" t="s">
        <v>1255</v>
      </c>
      <c r="O405" s="1" t="str">
        <f>"341225198302280049"</f>
        <v>341225198302280049</v>
      </c>
      <c r="P405" s="23" t="s">
        <v>1256</v>
      </c>
      <c r="Q405" s="23">
        <v>45291</v>
      </c>
      <c r="R405" s="32">
        <v>45657</v>
      </c>
      <c r="V405" s="33">
        <v>100</v>
      </c>
      <c r="W405" s="28">
        <v>64.29</v>
      </c>
      <c r="X405" s="34" t="s">
        <v>54</v>
      </c>
      <c r="Y405" s="33">
        <v>64.29</v>
      </c>
      <c r="AC405" s="28">
        <v>64.29</v>
      </c>
      <c r="AD405" s="34" t="s">
        <v>54</v>
      </c>
      <c r="AE405" s="33">
        <v>64.29</v>
      </c>
      <c r="AN405" s="7" t="s">
        <v>54</v>
      </c>
      <c r="AO405" s="7" t="s">
        <v>55</v>
      </c>
      <c r="AP405" s="7" t="s">
        <v>56</v>
      </c>
      <c r="AT405" s="47" t="s">
        <v>57</v>
      </c>
      <c r="AU405" s="47" t="s">
        <v>57</v>
      </c>
    </row>
    <row r="406" spans="1:47">
      <c r="A406" s="4" t="s">
        <v>48</v>
      </c>
      <c r="C406" s="21"/>
      <c r="D406" s="22" t="s">
        <v>49</v>
      </c>
      <c r="G406" s="23">
        <v>45083</v>
      </c>
      <c r="H406" s="24" t="s">
        <v>1257</v>
      </c>
      <c r="J406" s="28" t="s">
        <v>51</v>
      </c>
      <c r="L406" s="24" t="s">
        <v>1258</v>
      </c>
      <c r="M406" s="1" t="str">
        <f>"230105198708130027"</f>
        <v>230105198708130027</v>
      </c>
      <c r="N406" s="24" t="s">
        <v>1258</v>
      </c>
      <c r="O406" s="1" t="str">
        <f>"230105198708130027"</f>
        <v>230105198708130027</v>
      </c>
      <c r="P406" s="23" t="s">
        <v>1253</v>
      </c>
      <c r="Q406" s="23">
        <v>45206</v>
      </c>
      <c r="R406" s="32">
        <v>45572</v>
      </c>
      <c r="V406" s="33">
        <v>100</v>
      </c>
      <c r="W406" s="28">
        <v>64.29</v>
      </c>
      <c r="X406" s="34" t="s">
        <v>54</v>
      </c>
      <c r="Y406" s="33">
        <v>64.29</v>
      </c>
      <c r="AC406" s="28">
        <v>64.29</v>
      </c>
      <c r="AD406" s="34" t="s">
        <v>54</v>
      </c>
      <c r="AE406" s="33">
        <v>64.29</v>
      </c>
      <c r="AN406" s="7" t="s">
        <v>54</v>
      </c>
      <c r="AO406" s="7" t="s">
        <v>55</v>
      </c>
      <c r="AP406" s="7" t="s">
        <v>56</v>
      </c>
      <c r="AT406" s="47" t="s">
        <v>57</v>
      </c>
      <c r="AU406" s="47" t="s">
        <v>57</v>
      </c>
    </row>
    <row r="407" spans="1:47">
      <c r="A407" s="4" t="s">
        <v>48</v>
      </c>
      <c r="C407" s="21"/>
      <c r="D407" s="22" t="s">
        <v>49</v>
      </c>
      <c r="G407" s="23">
        <v>45083</v>
      </c>
      <c r="H407" s="24" t="s">
        <v>1259</v>
      </c>
      <c r="J407" s="28" t="s">
        <v>51</v>
      </c>
      <c r="L407" s="24" t="s">
        <v>1260</v>
      </c>
      <c r="M407" s="1" t="str">
        <f>"510623198903020023"</f>
        <v>510623198903020023</v>
      </c>
      <c r="N407" s="24" t="s">
        <v>1260</v>
      </c>
      <c r="O407" s="1" t="str">
        <f>"510623198903020023"</f>
        <v>510623198903020023</v>
      </c>
      <c r="P407" s="23" t="s">
        <v>1261</v>
      </c>
      <c r="Q407" s="23">
        <v>45291</v>
      </c>
      <c r="R407" s="32">
        <v>45657</v>
      </c>
      <c r="V407" s="33">
        <v>100</v>
      </c>
      <c r="W407" s="28">
        <v>64.29</v>
      </c>
      <c r="X407" s="34" t="s">
        <v>54</v>
      </c>
      <c r="Y407" s="33">
        <v>64.29</v>
      </c>
      <c r="AC407" s="28">
        <v>64.29</v>
      </c>
      <c r="AD407" s="34" t="s">
        <v>54</v>
      </c>
      <c r="AE407" s="33">
        <v>64.29</v>
      </c>
      <c r="AN407" s="7" t="s">
        <v>54</v>
      </c>
      <c r="AO407" s="7" t="s">
        <v>55</v>
      </c>
      <c r="AP407" s="7" t="s">
        <v>56</v>
      </c>
      <c r="AT407" s="47" t="s">
        <v>57</v>
      </c>
      <c r="AU407" s="47" t="s">
        <v>57</v>
      </c>
    </row>
    <row r="408" spans="1:47">
      <c r="A408" s="4" t="s">
        <v>48</v>
      </c>
      <c r="C408" s="21"/>
      <c r="D408" s="22" t="s">
        <v>49</v>
      </c>
      <c r="G408" s="23">
        <v>45082</v>
      </c>
      <c r="H408" s="24" t="s">
        <v>1262</v>
      </c>
      <c r="J408" s="28" t="s">
        <v>51</v>
      </c>
      <c r="L408" s="24" t="s">
        <v>1263</v>
      </c>
      <c r="M408" s="1" t="str">
        <f>"131082197202020277"</f>
        <v>131082197202020277</v>
      </c>
      <c r="N408" s="24" t="s">
        <v>1263</v>
      </c>
      <c r="O408" s="1" t="str">
        <f>"131082197202020277"</f>
        <v>131082197202020277</v>
      </c>
      <c r="P408" s="23" t="s">
        <v>1264</v>
      </c>
      <c r="Q408" s="23">
        <v>45083</v>
      </c>
      <c r="R408" s="32">
        <v>45449</v>
      </c>
      <c r="V408" s="33">
        <v>100</v>
      </c>
      <c r="W408" s="28">
        <v>64.29</v>
      </c>
      <c r="X408" s="34" t="s">
        <v>54</v>
      </c>
      <c r="Y408" s="33">
        <v>64.29</v>
      </c>
      <c r="AC408" s="28">
        <v>64.29</v>
      </c>
      <c r="AD408" s="34" t="s">
        <v>54</v>
      </c>
      <c r="AE408" s="33">
        <v>64.29</v>
      </c>
      <c r="AN408" s="7" t="s">
        <v>54</v>
      </c>
      <c r="AO408" s="7" t="s">
        <v>55</v>
      </c>
      <c r="AP408" s="7" t="s">
        <v>56</v>
      </c>
      <c r="AT408" s="47" t="s">
        <v>57</v>
      </c>
      <c r="AU408" s="47" t="s">
        <v>57</v>
      </c>
    </row>
    <row r="409" spans="1:47">
      <c r="A409" s="4" t="s">
        <v>48</v>
      </c>
      <c r="C409" s="21"/>
      <c r="D409" s="22" t="s">
        <v>49</v>
      </c>
      <c r="G409" s="23">
        <v>45083</v>
      </c>
      <c r="H409" s="24" t="s">
        <v>1265</v>
      </c>
      <c r="J409" s="28" t="s">
        <v>51</v>
      </c>
      <c r="L409" s="24" t="s">
        <v>1266</v>
      </c>
      <c r="M409" s="1" t="str">
        <f>"132821197101203316"</f>
        <v>132821197101203316</v>
      </c>
      <c r="N409" s="24" t="s">
        <v>1266</v>
      </c>
      <c r="O409" s="1" t="str">
        <f>"132821197101203316"</f>
        <v>132821197101203316</v>
      </c>
      <c r="P409" s="23" t="s">
        <v>1267</v>
      </c>
      <c r="Q409" s="23">
        <v>45084</v>
      </c>
      <c r="R409" s="32">
        <v>45450</v>
      </c>
      <c r="V409" s="33">
        <v>100</v>
      </c>
      <c r="W409" s="28">
        <v>64.29</v>
      </c>
      <c r="X409" s="34" t="s">
        <v>54</v>
      </c>
      <c r="Y409" s="33">
        <v>64.29</v>
      </c>
      <c r="AC409" s="28">
        <v>64.29</v>
      </c>
      <c r="AD409" s="34" t="s">
        <v>54</v>
      </c>
      <c r="AE409" s="33">
        <v>64.29</v>
      </c>
      <c r="AN409" s="7" t="s">
        <v>54</v>
      </c>
      <c r="AO409" s="7" t="s">
        <v>55</v>
      </c>
      <c r="AP409" s="7" t="s">
        <v>56</v>
      </c>
      <c r="AT409" s="47" t="s">
        <v>57</v>
      </c>
      <c r="AU409" s="47" t="s">
        <v>57</v>
      </c>
    </row>
    <row r="410" spans="1:47">
      <c r="A410" s="4" t="s">
        <v>48</v>
      </c>
      <c r="C410" s="21"/>
      <c r="D410" s="22" t="s">
        <v>49</v>
      </c>
      <c r="G410" s="23">
        <v>45083</v>
      </c>
      <c r="H410" s="24" t="s">
        <v>1268</v>
      </c>
      <c r="J410" s="28" t="s">
        <v>51</v>
      </c>
      <c r="L410" s="24" t="s">
        <v>1269</v>
      </c>
      <c r="M410" s="1" t="str">
        <f>"342122195807269294"</f>
        <v>342122195807269294</v>
      </c>
      <c r="N410" s="24" t="s">
        <v>1269</v>
      </c>
      <c r="O410" s="1" t="str">
        <f>"342122195807269294"</f>
        <v>342122195807269294</v>
      </c>
      <c r="P410" s="23" t="s">
        <v>1270</v>
      </c>
      <c r="Q410" s="23">
        <v>45084</v>
      </c>
      <c r="R410" s="32">
        <v>45450</v>
      </c>
      <c r="V410" s="33">
        <v>100</v>
      </c>
      <c r="W410" s="28">
        <v>64.29</v>
      </c>
      <c r="X410" s="34" t="s">
        <v>54</v>
      </c>
      <c r="Y410" s="33">
        <v>64.29</v>
      </c>
      <c r="AC410" s="28">
        <v>64.29</v>
      </c>
      <c r="AD410" s="34" t="s">
        <v>54</v>
      </c>
      <c r="AE410" s="33">
        <v>64.29</v>
      </c>
      <c r="AN410" s="7" t="s">
        <v>54</v>
      </c>
      <c r="AO410" s="7" t="s">
        <v>55</v>
      </c>
      <c r="AP410" s="7" t="s">
        <v>56</v>
      </c>
      <c r="AT410" s="47" t="s">
        <v>57</v>
      </c>
      <c r="AU410" s="47" t="s">
        <v>57</v>
      </c>
    </row>
    <row r="411" spans="1:47">
      <c r="A411" s="4" t="s">
        <v>48</v>
      </c>
      <c r="C411" s="21"/>
      <c r="D411" s="22" t="s">
        <v>49</v>
      </c>
      <c r="G411" s="23">
        <v>45084</v>
      </c>
      <c r="H411" s="24" t="s">
        <v>1271</v>
      </c>
      <c r="J411" s="28" t="s">
        <v>51</v>
      </c>
      <c r="L411" s="24" t="s">
        <v>1272</v>
      </c>
      <c r="M411" s="1" t="str">
        <f>"341221198911110824"</f>
        <v>341221198911110824</v>
      </c>
      <c r="N411" s="24" t="s">
        <v>1272</v>
      </c>
      <c r="O411" s="1" t="str">
        <f>"341221198911110824"</f>
        <v>341221198911110824</v>
      </c>
      <c r="P411" s="23" t="s">
        <v>1273</v>
      </c>
      <c r="Q411" s="23">
        <v>45207</v>
      </c>
      <c r="R411" s="32">
        <v>45573</v>
      </c>
      <c r="V411" s="33">
        <v>100</v>
      </c>
      <c r="W411" s="28">
        <v>64.29</v>
      </c>
      <c r="X411" s="34" t="s">
        <v>54</v>
      </c>
      <c r="Y411" s="33">
        <v>64.29</v>
      </c>
      <c r="AC411" s="28">
        <v>64.29</v>
      </c>
      <c r="AD411" s="34" t="s">
        <v>54</v>
      </c>
      <c r="AE411" s="33">
        <v>64.29</v>
      </c>
      <c r="AN411" s="7" t="s">
        <v>54</v>
      </c>
      <c r="AO411" s="7" t="s">
        <v>55</v>
      </c>
      <c r="AP411" s="7" t="s">
        <v>56</v>
      </c>
      <c r="AT411" s="47" t="s">
        <v>57</v>
      </c>
      <c r="AU411" s="47" t="s">
        <v>57</v>
      </c>
    </row>
    <row r="412" spans="1:47">
      <c r="A412" s="4" t="s">
        <v>48</v>
      </c>
      <c r="C412" s="21"/>
      <c r="D412" s="22" t="s">
        <v>49</v>
      </c>
      <c r="G412" s="23">
        <v>45098</v>
      </c>
      <c r="H412" s="24" t="s">
        <v>1274</v>
      </c>
      <c r="J412" s="28" t="s">
        <v>51</v>
      </c>
      <c r="L412" s="24" t="s">
        <v>1275</v>
      </c>
      <c r="M412" s="1" t="str">
        <f>"342122197106258831"</f>
        <v>342122197106258831</v>
      </c>
      <c r="N412" s="24" t="s">
        <v>1275</v>
      </c>
      <c r="O412" s="1" t="str">
        <f>"342122197106258831"</f>
        <v>342122197106258831</v>
      </c>
      <c r="P412" s="23" t="s">
        <v>1276</v>
      </c>
      <c r="Q412" s="23">
        <v>45099</v>
      </c>
      <c r="R412" s="32">
        <v>45465</v>
      </c>
      <c r="V412" s="33">
        <v>200</v>
      </c>
      <c r="W412" s="28">
        <v>64.29</v>
      </c>
      <c r="X412" s="34" t="s">
        <v>54</v>
      </c>
      <c r="Y412" s="33">
        <v>128.58</v>
      </c>
      <c r="AC412" s="28">
        <v>64.29</v>
      </c>
      <c r="AD412" s="34" t="s">
        <v>54</v>
      </c>
      <c r="AE412" s="33">
        <v>128.58</v>
      </c>
      <c r="AN412" s="7" t="s">
        <v>54</v>
      </c>
      <c r="AO412" s="7" t="s">
        <v>55</v>
      </c>
      <c r="AP412" s="7" t="s">
        <v>56</v>
      </c>
      <c r="AT412" s="47" t="s">
        <v>57</v>
      </c>
      <c r="AU412" s="47" t="s">
        <v>57</v>
      </c>
    </row>
    <row r="413" spans="1:47">
      <c r="A413" s="4" t="s">
        <v>48</v>
      </c>
      <c r="C413" s="21"/>
      <c r="D413" s="22" t="s">
        <v>49</v>
      </c>
      <c r="G413" s="23">
        <v>45096</v>
      </c>
      <c r="H413" s="24" t="s">
        <v>1277</v>
      </c>
      <c r="J413" s="28" t="s">
        <v>51</v>
      </c>
      <c r="L413" s="24" t="s">
        <v>1278</v>
      </c>
      <c r="M413" s="1" t="str">
        <f>"341221199507228091"</f>
        <v>341221199507228091</v>
      </c>
      <c r="N413" s="24" t="s">
        <v>1278</v>
      </c>
      <c r="O413" s="1" t="str">
        <f>"341221199507228091"</f>
        <v>341221199507228091</v>
      </c>
      <c r="P413" s="23" t="s">
        <v>1279</v>
      </c>
      <c r="Q413" s="23">
        <v>45097</v>
      </c>
      <c r="R413" s="32">
        <v>45463</v>
      </c>
      <c r="V413" s="33">
        <v>200</v>
      </c>
      <c r="W413" s="28">
        <v>64.29</v>
      </c>
      <c r="X413" s="34" t="s">
        <v>54</v>
      </c>
      <c r="Y413" s="33">
        <v>128.58</v>
      </c>
      <c r="AC413" s="28">
        <v>64.29</v>
      </c>
      <c r="AD413" s="34" t="s">
        <v>54</v>
      </c>
      <c r="AE413" s="33">
        <v>128.58</v>
      </c>
      <c r="AN413" s="7" t="s">
        <v>54</v>
      </c>
      <c r="AO413" s="7" t="s">
        <v>55</v>
      </c>
      <c r="AP413" s="7" t="s">
        <v>56</v>
      </c>
      <c r="AT413" s="47" t="s">
        <v>57</v>
      </c>
      <c r="AU413" s="47" t="s">
        <v>57</v>
      </c>
    </row>
    <row r="414" spans="1:47">
      <c r="A414" s="4" t="s">
        <v>48</v>
      </c>
      <c r="C414" s="21"/>
      <c r="D414" s="22" t="s">
        <v>49</v>
      </c>
      <c r="G414" s="23">
        <v>45096</v>
      </c>
      <c r="H414" s="24" t="s">
        <v>1280</v>
      </c>
      <c r="J414" s="28" t="s">
        <v>51</v>
      </c>
      <c r="L414" s="24" t="s">
        <v>1281</v>
      </c>
      <c r="M414" s="1" t="str">
        <f>"230711198202160624"</f>
        <v>230711198202160624</v>
      </c>
      <c r="N414" s="24" t="s">
        <v>1281</v>
      </c>
      <c r="O414" s="1" t="str">
        <f>"230711198202160624"</f>
        <v>230711198202160624</v>
      </c>
      <c r="P414" s="23" t="s">
        <v>1282</v>
      </c>
      <c r="Q414" s="23">
        <v>45097</v>
      </c>
      <c r="R414" s="32">
        <v>45463</v>
      </c>
      <c r="V414" s="33">
        <v>200</v>
      </c>
      <c r="W414" s="28">
        <v>64.29</v>
      </c>
      <c r="X414" s="34" t="s">
        <v>54</v>
      </c>
      <c r="Y414" s="33">
        <v>128.58</v>
      </c>
      <c r="AC414" s="28">
        <v>64.29</v>
      </c>
      <c r="AD414" s="34" t="s">
        <v>54</v>
      </c>
      <c r="AE414" s="33">
        <v>128.58</v>
      </c>
      <c r="AN414" s="7" t="s">
        <v>54</v>
      </c>
      <c r="AO414" s="7" t="s">
        <v>55</v>
      </c>
      <c r="AP414" s="7" t="s">
        <v>56</v>
      </c>
      <c r="AT414" s="47" t="s">
        <v>57</v>
      </c>
      <c r="AU414" s="47" t="s">
        <v>57</v>
      </c>
    </row>
    <row r="415" spans="1:47">
      <c r="A415" s="4" t="s">
        <v>48</v>
      </c>
      <c r="C415" s="21"/>
      <c r="D415" s="22" t="s">
        <v>49</v>
      </c>
      <c r="G415" s="23">
        <v>45097</v>
      </c>
      <c r="H415" s="24" t="s">
        <v>1283</v>
      </c>
      <c r="J415" s="28" t="s">
        <v>51</v>
      </c>
      <c r="L415" s="24" t="s">
        <v>1284</v>
      </c>
      <c r="M415" s="1" t="str">
        <f>"34122119781005497X"</f>
        <v>34122119781005497X</v>
      </c>
      <c r="N415" s="24" t="s">
        <v>1284</v>
      </c>
      <c r="O415" s="1" t="str">
        <f>"34122119781005497X"</f>
        <v>34122119781005497X</v>
      </c>
      <c r="P415" s="23" t="s">
        <v>1285</v>
      </c>
      <c r="Q415" s="23">
        <v>45098</v>
      </c>
      <c r="R415" s="32">
        <v>45464</v>
      </c>
      <c r="V415" s="33">
        <v>200</v>
      </c>
      <c r="W415" s="28">
        <v>64.29</v>
      </c>
      <c r="X415" s="34" t="s">
        <v>54</v>
      </c>
      <c r="Y415" s="33">
        <v>128.58</v>
      </c>
      <c r="AC415" s="28">
        <v>64.29</v>
      </c>
      <c r="AD415" s="34" t="s">
        <v>54</v>
      </c>
      <c r="AE415" s="33">
        <v>128.58</v>
      </c>
      <c r="AN415" s="7" t="s">
        <v>54</v>
      </c>
      <c r="AO415" s="7" t="s">
        <v>55</v>
      </c>
      <c r="AP415" s="7" t="s">
        <v>56</v>
      </c>
      <c r="AT415" s="47" t="s">
        <v>57</v>
      </c>
      <c r="AU415" s="47" t="s">
        <v>57</v>
      </c>
    </row>
    <row r="416" spans="1:47">
      <c r="A416" s="4" t="s">
        <v>48</v>
      </c>
      <c r="C416" s="21"/>
      <c r="D416" s="22" t="s">
        <v>49</v>
      </c>
      <c r="G416" s="23">
        <v>45083</v>
      </c>
      <c r="H416" s="24" t="s">
        <v>1286</v>
      </c>
      <c r="J416" s="28" t="s">
        <v>51</v>
      </c>
      <c r="L416" s="24" t="s">
        <v>1287</v>
      </c>
      <c r="M416" s="1" t="str">
        <f>"341227199105015219"</f>
        <v>341227199105015219</v>
      </c>
      <c r="N416" s="24" t="s">
        <v>1287</v>
      </c>
      <c r="O416" s="1" t="str">
        <f>"341227199105015219"</f>
        <v>341227199105015219</v>
      </c>
      <c r="P416" s="23" t="s">
        <v>1288</v>
      </c>
      <c r="Q416" s="23">
        <v>45084</v>
      </c>
      <c r="R416" s="32">
        <v>45450</v>
      </c>
      <c r="V416" s="33">
        <v>50</v>
      </c>
      <c r="W416" s="28">
        <v>64.29</v>
      </c>
      <c r="X416" s="34" t="s">
        <v>54</v>
      </c>
      <c r="Y416" s="33">
        <v>32.15</v>
      </c>
      <c r="AC416" s="28">
        <v>64.29</v>
      </c>
      <c r="AD416" s="34" t="s">
        <v>54</v>
      </c>
      <c r="AE416" s="33">
        <v>32.15</v>
      </c>
      <c r="AN416" s="7" t="s">
        <v>54</v>
      </c>
      <c r="AO416" s="7" t="s">
        <v>55</v>
      </c>
      <c r="AP416" s="7" t="s">
        <v>56</v>
      </c>
      <c r="AT416" s="47" t="s">
        <v>57</v>
      </c>
      <c r="AU416" s="47" t="s">
        <v>57</v>
      </c>
    </row>
    <row r="417" spans="1:47">
      <c r="A417" s="4" t="s">
        <v>48</v>
      </c>
      <c r="C417" s="21"/>
      <c r="D417" s="22" t="s">
        <v>49</v>
      </c>
      <c r="G417" s="23">
        <v>45093</v>
      </c>
      <c r="H417" s="24" t="s">
        <v>1289</v>
      </c>
      <c r="J417" s="28" t="s">
        <v>51</v>
      </c>
      <c r="L417" s="24" t="s">
        <v>1290</v>
      </c>
      <c r="M417" s="1" t="str">
        <f>"321020197803082410"</f>
        <v>321020197803082410</v>
      </c>
      <c r="N417" s="24" t="s">
        <v>1290</v>
      </c>
      <c r="O417" s="1" t="str">
        <f>"321020197803082410"</f>
        <v>321020197803082410</v>
      </c>
      <c r="P417" s="23" t="s">
        <v>1291</v>
      </c>
      <c r="Q417" s="23">
        <v>45094</v>
      </c>
      <c r="R417" s="32">
        <v>45460</v>
      </c>
      <c r="V417" s="33">
        <v>100</v>
      </c>
      <c r="W417" s="28">
        <v>64.29</v>
      </c>
      <c r="X417" s="34" t="s">
        <v>54</v>
      </c>
      <c r="Y417" s="33">
        <v>64.29</v>
      </c>
      <c r="AC417" s="28">
        <v>64.29</v>
      </c>
      <c r="AD417" s="34" t="s">
        <v>54</v>
      </c>
      <c r="AE417" s="33">
        <v>64.29</v>
      </c>
      <c r="AN417" s="7" t="s">
        <v>54</v>
      </c>
      <c r="AO417" s="7" t="s">
        <v>55</v>
      </c>
      <c r="AP417" s="7" t="s">
        <v>56</v>
      </c>
      <c r="AT417" s="47" t="s">
        <v>57</v>
      </c>
      <c r="AU417" s="47" t="s">
        <v>57</v>
      </c>
    </row>
    <row r="418" spans="1:47">
      <c r="A418" s="4" t="s">
        <v>48</v>
      </c>
      <c r="C418" s="21"/>
      <c r="D418" s="22" t="s">
        <v>49</v>
      </c>
      <c r="G418" s="23">
        <v>45093</v>
      </c>
      <c r="H418" s="24" t="s">
        <v>1292</v>
      </c>
      <c r="J418" s="28" t="s">
        <v>51</v>
      </c>
      <c r="L418" s="24" t="s">
        <v>1293</v>
      </c>
      <c r="M418" s="1" t="str">
        <f>"131082196206100333"</f>
        <v>131082196206100333</v>
      </c>
      <c r="N418" s="24" t="s">
        <v>1293</v>
      </c>
      <c r="O418" s="1" t="str">
        <f>"131082196206100333"</f>
        <v>131082196206100333</v>
      </c>
      <c r="P418" s="23" t="s">
        <v>1294</v>
      </c>
      <c r="Q418" s="23">
        <v>45094</v>
      </c>
      <c r="R418" s="32">
        <v>45460</v>
      </c>
      <c r="V418" s="33">
        <v>100</v>
      </c>
      <c r="W418" s="28">
        <v>64.29</v>
      </c>
      <c r="X418" s="34" t="s">
        <v>54</v>
      </c>
      <c r="Y418" s="33">
        <v>64.29</v>
      </c>
      <c r="AC418" s="28">
        <v>64.29</v>
      </c>
      <c r="AD418" s="34" t="s">
        <v>54</v>
      </c>
      <c r="AE418" s="33">
        <v>64.29</v>
      </c>
      <c r="AN418" s="7" t="s">
        <v>54</v>
      </c>
      <c r="AO418" s="7" t="s">
        <v>55</v>
      </c>
      <c r="AP418" s="7" t="s">
        <v>56</v>
      </c>
      <c r="AT418" s="47" t="s">
        <v>57</v>
      </c>
      <c r="AU418" s="47" t="s">
        <v>57</v>
      </c>
    </row>
    <row r="419" spans="1:47">
      <c r="A419" s="4" t="s">
        <v>48</v>
      </c>
      <c r="C419" s="21"/>
      <c r="D419" s="22" t="s">
        <v>49</v>
      </c>
      <c r="G419" s="23">
        <v>45096</v>
      </c>
      <c r="H419" s="24" t="s">
        <v>1295</v>
      </c>
      <c r="J419" s="28" t="s">
        <v>51</v>
      </c>
      <c r="L419" s="24" t="s">
        <v>1296</v>
      </c>
      <c r="M419" s="1" t="str">
        <f>"13102219891015643X"</f>
        <v>13102219891015643X</v>
      </c>
      <c r="N419" s="24" t="s">
        <v>1296</v>
      </c>
      <c r="O419" s="1" t="str">
        <f>"13102219891015643X"</f>
        <v>13102219891015643X</v>
      </c>
      <c r="P419" s="23" t="s">
        <v>1297</v>
      </c>
      <c r="Q419" s="23">
        <v>45189</v>
      </c>
      <c r="R419" s="32">
        <v>45555</v>
      </c>
      <c r="V419" s="33">
        <v>100</v>
      </c>
      <c r="W419" s="28">
        <v>64.29</v>
      </c>
      <c r="X419" s="34" t="s">
        <v>54</v>
      </c>
      <c r="Y419" s="33">
        <v>64.29</v>
      </c>
      <c r="AC419" s="28">
        <v>64.29</v>
      </c>
      <c r="AD419" s="34" t="s">
        <v>54</v>
      </c>
      <c r="AE419" s="33">
        <v>64.29</v>
      </c>
      <c r="AN419" s="7" t="s">
        <v>54</v>
      </c>
      <c r="AO419" s="7" t="s">
        <v>55</v>
      </c>
      <c r="AP419" s="7" t="s">
        <v>56</v>
      </c>
      <c r="AT419" s="47" t="s">
        <v>57</v>
      </c>
      <c r="AU419" s="47" t="s">
        <v>57</v>
      </c>
    </row>
    <row r="420" spans="1:47">
      <c r="A420" s="4" t="s">
        <v>48</v>
      </c>
      <c r="C420" s="21"/>
      <c r="D420" s="22" t="s">
        <v>49</v>
      </c>
      <c r="G420" s="23">
        <v>45085</v>
      </c>
      <c r="H420" s="24" t="s">
        <v>1298</v>
      </c>
      <c r="J420" s="28" t="s">
        <v>51</v>
      </c>
      <c r="L420" s="24" t="s">
        <v>1299</v>
      </c>
      <c r="M420" s="1" t="str">
        <f>"341204196903200867"</f>
        <v>341204196903200867</v>
      </c>
      <c r="N420" s="24" t="s">
        <v>1299</v>
      </c>
      <c r="O420" s="1" t="str">
        <f>"341204196903200867"</f>
        <v>341204196903200867</v>
      </c>
      <c r="P420" s="23" t="s">
        <v>1300</v>
      </c>
      <c r="Q420" s="23">
        <v>45239</v>
      </c>
      <c r="R420" s="32">
        <v>45605</v>
      </c>
      <c r="V420" s="33">
        <v>100</v>
      </c>
      <c r="W420" s="28">
        <v>64.29</v>
      </c>
      <c r="X420" s="34" t="s">
        <v>54</v>
      </c>
      <c r="Y420" s="33">
        <v>64.29</v>
      </c>
      <c r="AC420" s="28">
        <v>64.29</v>
      </c>
      <c r="AD420" s="34" t="s">
        <v>54</v>
      </c>
      <c r="AE420" s="33">
        <v>64.29</v>
      </c>
      <c r="AN420" s="7" t="s">
        <v>54</v>
      </c>
      <c r="AO420" s="7" t="s">
        <v>55</v>
      </c>
      <c r="AP420" s="7" t="s">
        <v>56</v>
      </c>
      <c r="AT420" s="47" t="s">
        <v>57</v>
      </c>
      <c r="AU420" s="47" t="s">
        <v>57</v>
      </c>
    </row>
    <row r="421" spans="1:47">
      <c r="A421" s="4" t="s">
        <v>48</v>
      </c>
      <c r="C421" s="21"/>
      <c r="D421" s="22" t="s">
        <v>49</v>
      </c>
      <c r="G421" s="23">
        <v>45098</v>
      </c>
      <c r="H421" s="24" t="s">
        <v>1301</v>
      </c>
      <c r="J421" s="28" t="s">
        <v>51</v>
      </c>
      <c r="L421" s="24" t="s">
        <v>1302</v>
      </c>
      <c r="M421" s="1" t="str">
        <f>"413026197111274229"</f>
        <v>413026197111274229</v>
      </c>
      <c r="N421" s="24" t="s">
        <v>1302</v>
      </c>
      <c r="O421" s="1" t="str">
        <f>"413026197111274229"</f>
        <v>413026197111274229</v>
      </c>
      <c r="P421" s="23" t="s">
        <v>1303</v>
      </c>
      <c r="Q421" s="23">
        <v>45178</v>
      </c>
      <c r="R421" s="32">
        <v>45544</v>
      </c>
      <c r="V421" s="33">
        <v>200</v>
      </c>
      <c r="W421" s="28">
        <v>64.29</v>
      </c>
      <c r="X421" s="34" t="s">
        <v>54</v>
      </c>
      <c r="Y421" s="33">
        <v>128.58</v>
      </c>
      <c r="AC421" s="28">
        <v>64.29</v>
      </c>
      <c r="AD421" s="34" t="s">
        <v>54</v>
      </c>
      <c r="AE421" s="33">
        <v>128.58</v>
      </c>
      <c r="AN421" s="7" t="s">
        <v>54</v>
      </c>
      <c r="AO421" s="7" t="s">
        <v>55</v>
      </c>
      <c r="AP421" s="7" t="s">
        <v>56</v>
      </c>
      <c r="AT421" s="47" t="s">
        <v>57</v>
      </c>
      <c r="AU421" s="47" t="s">
        <v>57</v>
      </c>
    </row>
    <row r="422" spans="1:47">
      <c r="A422" s="4" t="s">
        <v>48</v>
      </c>
      <c r="C422" s="21"/>
      <c r="D422" s="22" t="s">
        <v>49</v>
      </c>
      <c r="G422" s="23">
        <v>45096</v>
      </c>
      <c r="H422" s="24" t="s">
        <v>1304</v>
      </c>
      <c r="J422" s="28" t="s">
        <v>51</v>
      </c>
      <c r="L422" s="24" t="s">
        <v>1305</v>
      </c>
      <c r="M422" s="1" t="str">
        <f>"342128197205225742"</f>
        <v>342128197205225742</v>
      </c>
      <c r="N422" s="24" t="s">
        <v>1305</v>
      </c>
      <c r="O422" s="1" t="str">
        <f>"342128197205225742"</f>
        <v>342128197205225742</v>
      </c>
      <c r="P422" s="23" t="s">
        <v>1306</v>
      </c>
      <c r="Q422" s="23">
        <v>45097</v>
      </c>
      <c r="R422" s="32">
        <v>45463</v>
      </c>
      <c r="V422" s="33">
        <v>200</v>
      </c>
      <c r="W422" s="28">
        <v>64.29</v>
      </c>
      <c r="X422" s="34" t="s">
        <v>54</v>
      </c>
      <c r="Y422" s="33">
        <v>128.58</v>
      </c>
      <c r="AC422" s="28">
        <v>64.29</v>
      </c>
      <c r="AD422" s="34" t="s">
        <v>54</v>
      </c>
      <c r="AE422" s="33">
        <v>128.58</v>
      </c>
      <c r="AN422" s="7" t="s">
        <v>54</v>
      </c>
      <c r="AO422" s="7" t="s">
        <v>55</v>
      </c>
      <c r="AP422" s="7" t="s">
        <v>56</v>
      </c>
      <c r="AT422" s="47" t="s">
        <v>57</v>
      </c>
      <c r="AU422" s="47" t="s">
        <v>57</v>
      </c>
    </row>
    <row r="423" spans="1:47">
      <c r="A423" s="4" t="s">
        <v>48</v>
      </c>
      <c r="C423" s="21"/>
      <c r="D423" s="22" t="s">
        <v>49</v>
      </c>
      <c r="G423" s="23">
        <v>45083</v>
      </c>
      <c r="H423" s="24" t="s">
        <v>1307</v>
      </c>
      <c r="J423" s="28" t="s">
        <v>51</v>
      </c>
      <c r="L423" s="24" t="s">
        <v>1308</v>
      </c>
      <c r="M423" s="1" t="str">
        <f>"152104198903093837"</f>
        <v>152104198903093837</v>
      </c>
      <c r="N423" s="24" t="s">
        <v>1308</v>
      </c>
      <c r="O423" s="1" t="str">
        <f>"152104198903093837"</f>
        <v>152104198903093837</v>
      </c>
      <c r="P423" s="23" t="s">
        <v>1309</v>
      </c>
      <c r="Q423" s="23">
        <v>45084</v>
      </c>
      <c r="R423" s="32">
        <v>45450</v>
      </c>
      <c r="V423" s="33">
        <v>50</v>
      </c>
      <c r="W423" s="28">
        <v>64.29</v>
      </c>
      <c r="X423" s="34" t="s">
        <v>54</v>
      </c>
      <c r="Y423" s="33">
        <v>32.15</v>
      </c>
      <c r="AC423" s="28">
        <v>64.29</v>
      </c>
      <c r="AD423" s="34" t="s">
        <v>54</v>
      </c>
      <c r="AE423" s="33">
        <v>32.15</v>
      </c>
      <c r="AN423" s="7" t="s">
        <v>54</v>
      </c>
      <c r="AO423" s="7" t="s">
        <v>55</v>
      </c>
      <c r="AP423" s="7" t="s">
        <v>56</v>
      </c>
      <c r="AT423" s="47" t="s">
        <v>57</v>
      </c>
      <c r="AU423" s="47" t="s">
        <v>57</v>
      </c>
    </row>
    <row r="424" spans="1:47">
      <c r="A424" s="4" t="s">
        <v>48</v>
      </c>
      <c r="C424" s="21"/>
      <c r="D424" s="22" t="s">
        <v>49</v>
      </c>
      <c r="G424" s="23">
        <v>45083</v>
      </c>
      <c r="H424" s="24" t="s">
        <v>1310</v>
      </c>
      <c r="J424" s="28" t="s">
        <v>51</v>
      </c>
      <c r="L424" s="24" t="s">
        <v>1311</v>
      </c>
      <c r="M424" s="1" t="str">
        <f>"13108219940729027X"</f>
        <v>13108219940729027X</v>
      </c>
      <c r="N424" s="24" t="s">
        <v>1311</v>
      </c>
      <c r="O424" s="1" t="str">
        <f>"13108219940729027X"</f>
        <v>13108219940729027X</v>
      </c>
      <c r="P424" s="23" t="s">
        <v>1312</v>
      </c>
      <c r="Q424" s="23">
        <v>45084</v>
      </c>
      <c r="R424" s="32">
        <v>45450</v>
      </c>
      <c r="V424" s="33">
        <v>50</v>
      </c>
      <c r="W424" s="28">
        <v>64.29</v>
      </c>
      <c r="X424" s="34" t="s">
        <v>54</v>
      </c>
      <c r="Y424" s="33">
        <v>32.15</v>
      </c>
      <c r="AC424" s="28">
        <v>64.29</v>
      </c>
      <c r="AD424" s="34" t="s">
        <v>54</v>
      </c>
      <c r="AE424" s="33">
        <v>32.15</v>
      </c>
      <c r="AN424" s="7" t="s">
        <v>54</v>
      </c>
      <c r="AO424" s="7" t="s">
        <v>55</v>
      </c>
      <c r="AP424" s="7" t="s">
        <v>56</v>
      </c>
      <c r="AT424" s="47" t="s">
        <v>57</v>
      </c>
      <c r="AU424" s="47" t="s">
        <v>57</v>
      </c>
    </row>
    <row r="425" spans="1:47">
      <c r="A425" s="4" t="s">
        <v>48</v>
      </c>
      <c r="C425" s="21"/>
      <c r="D425" s="22" t="s">
        <v>49</v>
      </c>
      <c r="G425" s="23">
        <v>45080</v>
      </c>
      <c r="H425" s="24" t="s">
        <v>1313</v>
      </c>
      <c r="J425" s="28" t="s">
        <v>51</v>
      </c>
      <c r="L425" s="24" t="s">
        <v>1314</v>
      </c>
      <c r="M425" s="1" t="str">
        <f>"341202197104241912"</f>
        <v>341202197104241912</v>
      </c>
      <c r="N425" s="24" t="s">
        <v>1314</v>
      </c>
      <c r="O425" s="1" t="str">
        <f>"341202197104241912"</f>
        <v>341202197104241912</v>
      </c>
      <c r="P425" s="23" t="s">
        <v>1315</v>
      </c>
      <c r="Q425" s="23">
        <v>45081</v>
      </c>
      <c r="R425" s="32">
        <v>45447</v>
      </c>
      <c r="V425" s="33">
        <v>50</v>
      </c>
      <c r="W425" s="28">
        <v>64.29</v>
      </c>
      <c r="X425" s="34" t="s">
        <v>54</v>
      </c>
      <c r="Y425" s="33">
        <v>32.15</v>
      </c>
      <c r="AC425" s="28">
        <v>64.29</v>
      </c>
      <c r="AD425" s="34" t="s">
        <v>54</v>
      </c>
      <c r="AE425" s="33">
        <v>32.15</v>
      </c>
      <c r="AN425" s="7" t="s">
        <v>54</v>
      </c>
      <c r="AO425" s="7" t="s">
        <v>55</v>
      </c>
      <c r="AP425" s="7" t="s">
        <v>56</v>
      </c>
      <c r="AT425" s="47" t="s">
        <v>57</v>
      </c>
      <c r="AU425" s="47" t="s">
        <v>57</v>
      </c>
    </row>
    <row r="426" spans="1:47">
      <c r="A426" s="4" t="s">
        <v>48</v>
      </c>
      <c r="C426" s="21"/>
      <c r="D426" s="22" t="s">
        <v>49</v>
      </c>
      <c r="G426" s="23">
        <v>45080</v>
      </c>
      <c r="H426" s="24" t="s">
        <v>1316</v>
      </c>
      <c r="J426" s="28" t="s">
        <v>51</v>
      </c>
      <c r="L426" s="24" t="s">
        <v>1317</v>
      </c>
      <c r="M426" s="1" t="str">
        <f>"340823198711231538"</f>
        <v>340823198711231538</v>
      </c>
      <c r="N426" s="24" t="s">
        <v>1317</v>
      </c>
      <c r="O426" s="1" t="str">
        <f>"340823198711231538"</f>
        <v>340823198711231538</v>
      </c>
      <c r="P426" s="23" t="s">
        <v>1318</v>
      </c>
      <c r="Q426" s="23">
        <v>45081</v>
      </c>
      <c r="R426" s="32">
        <v>45447</v>
      </c>
      <c r="V426" s="33">
        <v>50</v>
      </c>
      <c r="W426" s="28">
        <v>64.29</v>
      </c>
      <c r="X426" s="34" t="s">
        <v>54</v>
      </c>
      <c r="Y426" s="33">
        <v>32.15</v>
      </c>
      <c r="AC426" s="28">
        <v>64.29</v>
      </c>
      <c r="AD426" s="34" t="s">
        <v>54</v>
      </c>
      <c r="AE426" s="33">
        <v>32.15</v>
      </c>
      <c r="AN426" s="7" t="s">
        <v>54</v>
      </c>
      <c r="AO426" s="7" t="s">
        <v>55</v>
      </c>
      <c r="AP426" s="7" t="s">
        <v>56</v>
      </c>
      <c r="AT426" s="47" t="s">
        <v>57</v>
      </c>
      <c r="AU426" s="47" t="s">
        <v>57</v>
      </c>
    </row>
    <row r="427" spans="1:47">
      <c r="A427" s="4" t="s">
        <v>48</v>
      </c>
      <c r="C427" s="21"/>
      <c r="D427" s="22" t="s">
        <v>49</v>
      </c>
      <c r="G427" s="23">
        <v>45079</v>
      </c>
      <c r="H427" s="24" t="s">
        <v>1319</v>
      </c>
      <c r="J427" s="28" t="s">
        <v>51</v>
      </c>
      <c r="L427" s="24" t="s">
        <v>1320</v>
      </c>
      <c r="M427" s="1" t="str">
        <f>"44010619690315205X"</f>
        <v>44010619690315205X</v>
      </c>
      <c r="N427" s="24" t="s">
        <v>1320</v>
      </c>
      <c r="O427" s="1" t="str">
        <f>"44010619690315205X"</f>
        <v>44010619690315205X</v>
      </c>
      <c r="P427" s="23" t="s">
        <v>1321</v>
      </c>
      <c r="Q427" s="23">
        <v>45080</v>
      </c>
      <c r="R427" s="32">
        <v>45446</v>
      </c>
      <c r="V427" s="33">
        <v>50</v>
      </c>
      <c r="W427" s="28">
        <v>64.29</v>
      </c>
      <c r="X427" s="34" t="s">
        <v>54</v>
      </c>
      <c r="Y427" s="33">
        <v>32.15</v>
      </c>
      <c r="AC427" s="28">
        <v>64.29</v>
      </c>
      <c r="AD427" s="34" t="s">
        <v>54</v>
      </c>
      <c r="AE427" s="33">
        <v>32.15</v>
      </c>
      <c r="AN427" s="7" t="s">
        <v>54</v>
      </c>
      <c r="AO427" s="7" t="s">
        <v>55</v>
      </c>
      <c r="AP427" s="7" t="s">
        <v>56</v>
      </c>
      <c r="AT427" s="47" t="s">
        <v>57</v>
      </c>
      <c r="AU427" s="47" t="s">
        <v>57</v>
      </c>
    </row>
    <row r="428" spans="1:47">
      <c r="A428" s="4" t="s">
        <v>48</v>
      </c>
      <c r="C428" s="21"/>
      <c r="D428" s="22" t="s">
        <v>49</v>
      </c>
      <c r="G428" s="23">
        <v>45093</v>
      </c>
      <c r="H428" s="24" t="s">
        <v>1322</v>
      </c>
      <c r="J428" s="28" t="s">
        <v>51</v>
      </c>
      <c r="L428" s="24" t="s">
        <v>1323</v>
      </c>
      <c r="M428" s="1" t="str">
        <f>"342101196002150221"</f>
        <v>342101196002150221</v>
      </c>
      <c r="N428" s="24" t="s">
        <v>1323</v>
      </c>
      <c r="O428" s="1" t="str">
        <f>"342101196002150221"</f>
        <v>342101196002150221</v>
      </c>
      <c r="P428" s="23" t="s">
        <v>1324</v>
      </c>
      <c r="Q428" s="23">
        <v>45094</v>
      </c>
      <c r="R428" s="32">
        <v>45460</v>
      </c>
      <c r="V428" s="33">
        <v>100</v>
      </c>
      <c r="W428" s="28">
        <v>64.29</v>
      </c>
      <c r="X428" s="34" t="s">
        <v>54</v>
      </c>
      <c r="Y428" s="33">
        <v>64.29</v>
      </c>
      <c r="AC428" s="28">
        <v>64.29</v>
      </c>
      <c r="AD428" s="34" t="s">
        <v>54</v>
      </c>
      <c r="AE428" s="33">
        <v>64.29</v>
      </c>
      <c r="AN428" s="7" t="s">
        <v>54</v>
      </c>
      <c r="AO428" s="7" t="s">
        <v>55</v>
      </c>
      <c r="AP428" s="7" t="s">
        <v>56</v>
      </c>
      <c r="AT428" s="47" t="s">
        <v>57</v>
      </c>
      <c r="AU428" s="47" t="s">
        <v>57</v>
      </c>
    </row>
    <row r="429" spans="1:47">
      <c r="A429" s="4" t="s">
        <v>48</v>
      </c>
      <c r="C429" s="21"/>
      <c r="D429" s="22" t="s">
        <v>49</v>
      </c>
      <c r="G429" s="23">
        <v>45093</v>
      </c>
      <c r="H429" s="24" t="s">
        <v>1325</v>
      </c>
      <c r="J429" s="28" t="s">
        <v>51</v>
      </c>
      <c r="L429" s="24" t="s">
        <v>1326</v>
      </c>
      <c r="M429" s="1" t="str">
        <f>"341221198812200218"</f>
        <v>341221198812200218</v>
      </c>
      <c r="N429" s="24" t="s">
        <v>1326</v>
      </c>
      <c r="O429" s="1" t="str">
        <f>"341221198812200218"</f>
        <v>341221198812200218</v>
      </c>
      <c r="P429" s="23" t="s">
        <v>1327</v>
      </c>
      <c r="Q429" s="23">
        <v>45094</v>
      </c>
      <c r="R429" s="32">
        <v>45460</v>
      </c>
      <c r="V429" s="33">
        <v>100</v>
      </c>
      <c r="W429" s="28">
        <v>64.29</v>
      </c>
      <c r="X429" s="34" t="s">
        <v>54</v>
      </c>
      <c r="Y429" s="33">
        <v>64.29</v>
      </c>
      <c r="AC429" s="28">
        <v>64.29</v>
      </c>
      <c r="AD429" s="34" t="s">
        <v>54</v>
      </c>
      <c r="AE429" s="33">
        <v>64.29</v>
      </c>
      <c r="AN429" s="7" t="s">
        <v>54</v>
      </c>
      <c r="AO429" s="7" t="s">
        <v>55</v>
      </c>
      <c r="AP429" s="7" t="s">
        <v>56</v>
      </c>
      <c r="AT429" s="47" t="s">
        <v>57</v>
      </c>
      <c r="AU429" s="47" t="s">
        <v>57</v>
      </c>
    </row>
    <row r="430" spans="1:47">
      <c r="A430" s="4" t="s">
        <v>48</v>
      </c>
      <c r="C430" s="21"/>
      <c r="D430" s="22" t="s">
        <v>49</v>
      </c>
      <c r="G430" s="23">
        <v>45093</v>
      </c>
      <c r="H430" s="24" t="s">
        <v>1328</v>
      </c>
      <c r="J430" s="28" t="s">
        <v>51</v>
      </c>
      <c r="L430" s="24" t="s">
        <v>1329</v>
      </c>
      <c r="M430" s="1" t="str">
        <f>"342101195901152234"</f>
        <v>342101195901152234</v>
      </c>
      <c r="N430" s="24" t="s">
        <v>1329</v>
      </c>
      <c r="O430" s="1" t="str">
        <f>"342101195901152234"</f>
        <v>342101195901152234</v>
      </c>
      <c r="P430" s="23" t="s">
        <v>1330</v>
      </c>
      <c r="Q430" s="23">
        <v>45170</v>
      </c>
      <c r="R430" s="32">
        <v>45536</v>
      </c>
      <c r="V430" s="33">
        <v>100</v>
      </c>
      <c r="W430" s="28">
        <v>64.29</v>
      </c>
      <c r="X430" s="34" t="s">
        <v>54</v>
      </c>
      <c r="Y430" s="33">
        <v>64.29</v>
      </c>
      <c r="AC430" s="28">
        <v>64.29</v>
      </c>
      <c r="AD430" s="34" t="s">
        <v>54</v>
      </c>
      <c r="AE430" s="33">
        <v>64.29</v>
      </c>
      <c r="AN430" s="7" t="s">
        <v>54</v>
      </c>
      <c r="AO430" s="7" t="s">
        <v>55</v>
      </c>
      <c r="AP430" s="7" t="s">
        <v>56</v>
      </c>
      <c r="AT430" s="47" t="s">
        <v>57</v>
      </c>
      <c r="AU430" s="47" t="s">
        <v>57</v>
      </c>
    </row>
    <row r="431" spans="1:47">
      <c r="A431" s="4" t="s">
        <v>48</v>
      </c>
      <c r="C431" s="21"/>
      <c r="D431" s="22" t="s">
        <v>49</v>
      </c>
      <c r="G431" s="23">
        <v>45093</v>
      </c>
      <c r="H431" s="24" t="s">
        <v>1331</v>
      </c>
      <c r="J431" s="28" t="s">
        <v>51</v>
      </c>
      <c r="L431" s="24" t="s">
        <v>1332</v>
      </c>
      <c r="M431" s="1" t="str">
        <f>"342101197605101861"</f>
        <v>342101197605101861</v>
      </c>
      <c r="N431" s="24" t="s">
        <v>1332</v>
      </c>
      <c r="O431" s="1" t="str">
        <f>"342101197605101861"</f>
        <v>342101197605101861</v>
      </c>
      <c r="P431" s="23" t="s">
        <v>1333</v>
      </c>
      <c r="Q431" s="23">
        <v>45216</v>
      </c>
      <c r="R431" s="32">
        <v>45582</v>
      </c>
      <c r="V431" s="33">
        <v>100</v>
      </c>
      <c r="W431" s="28">
        <v>64.29</v>
      </c>
      <c r="X431" s="34" t="s">
        <v>54</v>
      </c>
      <c r="Y431" s="33">
        <v>64.29</v>
      </c>
      <c r="AC431" s="28">
        <v>64.29</v>
      </c>
      <c r="AD431" s="34" t="s">
        <v>54</v>
      </c>
      <c r="AE431" s="33">
        <v>64.29</v>
      </c>
      <c r="AN431" s="7" t="s">
        <v>54</v>
      </c>
      <c r="AO431" s="7" t="s">
        <v>55</v>
      </c>
      <c r="AP431" s="7" t="s">
        <v>56</v>
      </c>
      <c r="AT431" s="47" t="s">
        <v>57</v>
      </c>
      <c r="AU431" s="47" t="s">
        <v>57</v>
      </c>
    </row>
    <row r="432" spans="1:47">
      <c r="A432" s="4" t="s">
        <v>48</v>
      </c>
      <c r="C432" s="21"/>
      <c r="D432" s="22" t="s">
        <v>49</v>
      </c>
      <c r="G432" s="23">
        <v>45093</v>
      </c>
      <c r="H432" s="24" t="s">
        <v>1334</v>
      </c>
      <c r="J432" s="28" t="s">
        <v>51</v>
      </c>
      <c r="L432" s="24" t="s">
        <v>1335</v>
      </c>
      <c r="M432" s="1" t="str">
        <f>"132801197311010429"</f>
        <v>132801197311010429</v>
      </c>
      <c r="N432" s="24" t="s">
        <v>1335</v>
      </c>
      <c r="O432" s="1" t="str">
        <f>"132801197311010429"</f>
        <v>132801197311010429</v>
      </c>
      <c r="P432" s="23" t="s">
        <v>1336</v>
      </c>
      <c r="Q432" s="23">
        <v>45094</v>
      </c>
      <c r="R432" s="32">
        <v>45460</v>
      </c>
      <c r="V432" s="33">
        <v>100</v>
      </c>
      <c r="W432" s="28">
        <v>64.29</v>
      </c>
      <c r="X432" s="34" t="s">
        <v>54</v>
      </c>
      <c r="Y432" s="33">
        <v>64.29</v>
      </c>
      <c r="AC432" s="28">
        <v>64.29</v>
      </c>
      <c r="AD432" s="34" t="s">
        <v>54</v>
      </c>
      <c r="AE432" s="33">
        <v>64.29</v>
      </c>
      <c r="AN432" s="7" t="s">
        <v>54</v>
      </c>
      <c r="AO432" s="7" t="s">
        <v>55</v>
      </c>
      <c r="AP432" s="7" t="s">
        <v>56</v>
      </c>
      <c r="AT432" s="47" t="s">
        <v>57</v>
      </c>
      <c r="AU432" s="47" t="s">
        <v>57</v>
      </c>
    </row>
    <row r="433" spans="1:47">
      <c r="A433" s="4" t="s">
        <v>48</v>
      </c>
      <c r="C433" s="21"/>
      <c r="D433" s="22" t="s">
        <v>49</v>
      </c>
      <c r="G433" s="23">
        <v>45093</v>
      </c>
      <c r="H433" s="24" t="s">
        <v>1337</v>
      </c>
      <c r="J433" s="28" t="s">
        <v>51</v>
      </c>
      <c r="L433" s="24" t="s">
        <v>1338</v>
      </c>
      <c r="M433" s="1" t="str">
        <f>"342101195703142211"</f>
        <v>342101195703142211</v>
      </c>
      <c r="N433" s="24" t="s">
        <v>1338</v>
      </c>
      <c r="O433" s="1" t="str">
        <f>"342101195703142211"</f>
        <v>342101195703142211</v>
      </c>
      <c r="P433" s="23" t="s">
        <v>1339</v>
      </c>
      <c r="Q433" s="23">
        <v>45094</v>
      </c>
      <c r="R433" s="32">
        <v>45460</v>
      </c>
      <c r="V433" s="33">
        <v>100</v>
      </c>
      <c r="W433" s="28">
        <v>64.29</v>
      </c>
      <c r="X433" s="34" t="s">
        <v>54</v>
      </c>
      <c r="Y433" s="33">
        <v>64.29</v>
      </c>
      <c r="AC433" s="28">
        <v>64.29</v>
      </c>
      <c r="AD433" s="34" t="s">
        <v>54</v>
      </c>
      <c r="AE433" s="33">
        <v>64.29</v>
      </c>
      <c r="AN433" s="7" t="s">
        <v>54</v>
      </c>
      <c r="AO433" s="7" t="s">
        <v>55</v>
      </c>
      <c r="AP433" s="7" t="s">
        <v>56</v>
      </c>
      <c r="AT433" s="47" t="s">
        <v>57</v>
      </c>
      <c r="AU433" s="47" t="s">
        <v>57</v>
      </c>
    </row>
    <row r="434" spans="1:47">
      <c r="A434" s="4" t="s">
        <v>48</v>
      </c>
      <c r="C434" s="21"/>
      <c r="D434" s="22" t="s">
        <v>49</v>
      </c>
      <c r="G434" s="23">
        <v>45096</v>
      </c>
      <c r="H434" s="24" t="s">
        <v>1340</v>
      </c>
      <c r="J434" s="28" t="s">
        <v>51</v>
      </c>
      <c r="L434" s="24" t="s">
        <v>1341</v>
      </c>
      <c r="M434" s="1" t="str">
        <f>"341202199409193535"</f>
        <v>341202199409193535</v>
      </c>
      <c r="N434" s="24" t="s">
        <v>1341</v>
      </c>
      <c r="O434" s="1" t="str">
        <f>"341202199409193535"</f>
        <v>341202199409193535</v>
      </c>
      <c r="P434" s="23" t="s">
        <v>1342</v>
      </c>
      <c r="Q434" s="23">
        <v>45097</v>
      </c>
      <c r="R434" s="32">
        <v>45463</v>
      </c>
      <c r="V434" s="33">
        <v>100</v>
      </c>
      <c r="W434" s="28">
        <v>64.29</v>
      </c>
      <c r="X434" s="34" t="s">
        <v>54</v>
      </c>
      <c r="Y434" s="33">
        <v>64.29</v>
      </c>
      <c r="AC434" s="28">
        <v>64.29</v>
      </c>
      <c r="AD434" s="34" t="s">
        <v>54</v>
      </c>
      <c r="AE434" s="33">
        <v>64.29</v>
      </c>
      <c r="AN434" s="7" t="s">
        <v>54</v>
      </c>
      <c r="AO434" s="7" t="s">
        <v>55</v>
      </c>
      <c r="AP434" s="7" t="s">
        <v>56</v>
      </c>
      <c r="AT434" s="47" t="s">
        <v>57</v>
      </c>
      <c r="AU434" s="47" t="s">
        <v>57</v>
      </c>
    </row>
    <row r="435" spans="1:47">
      <c r="A435" s="4" t="s">
        <v>48</v>
      </c>
      <c r="C435" s="21"/>
      <c r="D435" s="22" t="s">
        <v>49</v>
      </c>
      <c r="G435" s="23">
        <v>45084</v>
      </c>
      <c r="H435" s="24" t="s">
        <v>1343</v>
      </c>
      <c r="J435" s="28" t="s">
        <v>51</v>
      </c>
      <c r="L435" s="24" t="s">
        <v>1344</v>
      </c>
      <c r="M435" s="1" t="str">
        <f>"342101195402040019"</f>
        <v>342101195402040019</v>
      </c>
      <c r="N435" s="24" t="s">
        <v>1344</v>
      </c>
      <c r="O435" s="1" t="str">
        <f>"342101195402040019"</f>
        <v>342101195402040019</v>
      </c>
      <c r="P435" s="23" t="s">
        <v>1345</v>
      </c>
      <c r="Q435" s="23">
        <v>45085</v>
      </c>
      <c r="R435" s="32">
        <v>45451</v>
      </c>
      <c r="V435" s="33">
        <v>100</v>
      </c>
      <c r="W435" s="28">
        <v>64.29</v>
      </c>
      <c r="X435" s="34" t="s">
        <v>54</v>
      </c>
      <c r="Y435" s="33">
        <v>64.29</v>
      </c>
      <c r="AC435" s="28">
        <v>64.29</v>
      </c>
      <c r="AD435" s="34" t="s">
        <v>54</v>
      </c>
      <c r="AE435" s="33">
        <v>64.29</v>
      </c>
      <c r="AN435" s="7" t="s">
        <v>54</v>
      </c>
      <c r="AO435" s="7" t="s">
        <v>55</v>
      </c>
      <c r="AP435" s="7" t="s">
        <v>56</v>
      </c>
      <c r="AT435" s="47" t="s">
        <v>57</v>
      </c>
      <c r="AU435" s="47" t="s">
        <v>57</v>
      </c>
    </row>
    <row r="436" spans="1:47">
      <c r="A436" s="4" t="s">
        <v>48</v>
      </c>
      <c r="C436" s="21"/>
      <c r="D436" s="22" t="s">
        <v>49</v>
      </c>
      <c r="G436" s="23">
        <v>45093</v>
      </c>
      <c r="H436" s="24" t="s">
        <v>1346</v>
      </c>
      <c r="J436" s="28" t="s">
        <v>51</v>
      </c>
      <c r="L436" s="24" t="s">
        <v>1347</v>
      </c>
      <c r="M436" s="1" t="str">
        <f>"342128197211215719"</f>
        <v>342128197211215719</v>
      </c>
      <c r="N436" s="24" t="s">
        <v>1347</v>
      </c>
      <c r="O436" s="1" t="str">
        <f>"342128197211215719"</f>
        <v>342128197211215719</v>
      </c>
      <c r="P436" s="23" t="s">
        <v>1348</v>
      </c>
      <c r="Q436" s="23">
        <v>45094</v>
      </c>
      <c r="R436" s="32">
        <v>45460</v>
      </c>
      <c r="V436" s="33">
        <v>200</v>
      </c>
      <c r="W436" s="28">
        <v>64.29</v>
      </c>
      <c r="X436" s="34" t="s">
        <v>54</v>
      </c>
      <c r="Y436" s="33">
        <v>128.58</v>
      </c>
      <c r="AC436" s="28">
        <v>64.29</v>
      </c>
      <c r="AD436" s="34" t="s">
        <v>54</v>
      </c>
      <c r="AE436" s="33">
        <v>128.58</v>
      </c>
      <c r="AN436" s="7" t="s">
        <v>54</v>
      </c>
      <c r="AO436" s="7" t="s">
        <v>55</v>
      </c>
      <c r="AP436" s="7" t="s">
        <v>56</v>
      </c>
      <c r="AT436" s="47" t="s">
        <v>57</v>
      </c>
      <c r="AU436" s="47" t="s">
        <v>57</v>
      </c>
    </row>
    <row r="437" spans="1:47">
      <c r="A437" s="4" t="s">
        <v>48</v>
      </c>
      <c r="C437" s="21"/>
      <c r="D437" s="22" t="s">
        <v>49</v>
      </c>
      <c r="G437" s="23">
        <v>45093</v>
      </c>
      <c r="H437" s="24" t="s">
        <v>1349</v>
      </c>
      <c r="J437" s="28" t="s">
        <v>51</v>
      </c>
      <c r="L437" s="24" t="s">
        <v>1350</v>
      </c>
      <c r="M437" s="1" t="str">
        <f>"131082198902070026"</f>
        <v>131082198902070026</v>
      </c>
      <c r="N437" s="24" t="s">
        <v>1350</v>
      </c>
      <c r="O437" s="1" t="str">
        <f>"131082198902070026"</f>
        <v>131082198902070026</v>
      </c>
      <c r="P437" s="23" t="s">
        <v>1351</v>
      </c>
      <c r="Q437" s="23">
        <v>45094</v>
      </c>
      <c r="R437" s="32">
        <v>45460</v>
      </c>
      <c r="V437" s="33">
        <v>200</v>
      </c>
      <c r="W437" s="28">
        <v>64.29</v>
      </c>
      <c r="X437" s="34" t="s">
        <v>54</v>
      </c>
      <c r="Y437" s="33">
        <v>128.58</v>
      </c>
      <c r="AC437" s="28">
        <v>64.29</v>
      </c>
      <c r="AD437" s="34" t="s">
        <v>54</v>
      </c>
      <c r="AE437" s="33">
        <v>128.58</v>
      </c>
      <c r="AN437" s="7" t="s">
        <v>54</v>
      </c>
      <c r="AO437" s="7" t="s">
        <v>55</v>
      </c>
      <c r="AP437" s="7" t="s">
        <v>56</v>
      </c>
      <c r="AT437" s="47" t="s">
        <v>57</v>
      </c>
      <c r="AU437" s="47" t="s">
        <v>57</v>
      </c>
    </row>
    <row r="438" spans="1:47">
      <c r="A438" s="4" t="s">
        <v>48</v>
      </c>
      <c r="C438" s="21"/>
      <c r="D438" s="22" t="s">
        <v>49</v>
      </c>
      <c r="G438" s="23">
        <v>45093</v>
      </c>
      <c r="H438" s="24" t="s">
        <v>1352</v>
      </c>
      <c r="J438" s="28" t="s">
        <v>51</v>
      </c>
      <c r="L438" s="24" t="s">
        <v>1353</v>
      </c>
      <c r="M438" s="1" t="str">
        <f>"342101197702038219"</f>
        <v>342101197702038219</v>
      </c>
      <c r="N438" s="24" t="s">
        <v>1353</v>
      </c>
      <c r="O438" s="1" t="str">
        <f>"342101197702038219"</f>
        <v>342101197702038219</v>
      </c>
      <c r="P438" s="23" t="s">
        <v>1354</v>
      </c>
      <c r="Q438" s="23">
        <v>45094</v>
      </c>
      <c r="R438" s="32">
        <v>45460</v>
      </c>
      <c r="V438" s="33">
        <v>200</v>
      </c>
      <c r="W438" s="28">
        <v>64.29</v>
      </c>
      <c r="X438" s="34" t="s">
        <v>54</v>
      </c>
      <c r="Y438" s="33">
        <v>128.58</v>
      </c>
      <c r="AC438" s="28">
        <v>64.29</v>
      </c>
      <c r="AD438" s="34" t="s">
        <v>54</v>
      </c>
      <c r="AE438" s="33">
        <v>128.58</v>
      </c>
      <c r="AN438" s="7" t="s">
        <v>54</v>
      </c>
      <c r="AO438" s="7" t="s">
        <v>55</v>
      </c>
      <c r="AP438" s="7" t="s">
        <v>56</v>
      </c>
      <c r="AT438" s="47" t="s">
        <v>57</v>
      </c>
      <c r="AU438" s="47" t="s">
        <v>57</v>
      </c>
    </row>
    <row r="439" spans="1:47">
      <c r="A439" s="4" t="s">
        <v>48</v>
      </c>
      <c r="C439" s="21"/>
      <c r="D439" s="22" t="s">
        <v>49</v>
      </c>
      <c r="G439" s="23">
        <v>45093</v>
      </c>
      <c r="H439" s="24" t="s">
        <v>1355</v>
      </c>
      <c r="J439" s="28" t="s">
        <v>51</v>
      </c>
      <c r="L439" s="24" t="s">
        <v>1356</v>
      </c>
      <c r="M439" s="1" t="str">
        <f>"342101197109260222"</f>
        <v>342101197109260222</v>
      </c>
      <c r="N439" s="24" t="s">
        <v>1356</v>
      </c>
      <c r="O439" s="1" t="str">
        <f>"342101197109260222"</f>
        <v>342101197109260222</v>
      </c>
      <c r="P439" s="23" t="s">
        <v>1357</v>
      </c>
      <c r="Q439" s="23">
        <v>45094</v>
      </c>
      <c r="R439" s="32">
        <v>45460</v>
      </c>
      <c r="V439" s="33">
        <v>200</v>
      </c>
      <c r="W439" s="28">
        <v>64.29</v>
      </c>
      <c r="X439" s="34" t="s">
        <v>54</v>
      </c>
      <c r="Y439" s="33">
        <v>128.58</v>
      </c>
      <c r="AC439" s="28">
        <v>64.29</v>
      </c>
      <c r="AD439" s="34" t="s">
        <v>54</v>
      </c>
      <c r="AE439" s="33">
        <v>128.58</v>
      </c>
      <c r="AN439" s="7" t="s">
        <v>54</v>
      </c>
      <c r="AO439" s="7" t="s">
        <v>55</v>
      </c>
      <c r="AP439" s="7" t="s">
        <v>56</v>
      </c>
      <c r="AT439" s="47" t="s">
        <v>57</v>
      </c>
      <c r="AU439" s="47" t="s">
        <v>57</v>
      </c>
    </row>
    <row r="440" spans="1:47">
      <c r="A440" s="4" t="s">
        <v>48</v>
      </c>
      <c r="C440" s="21"/>
      <c r="D440" s="22" t="s">
        <v>49</v>
      </c>
      <c r="G440" s="23">
        <v>45096</v>
      </c>
      <c r="H440" s="24" t="s">
        <v>1358</v>
      </c>
      <c r="J440" s="28" t="s">
        <v>51</v>
      </c>
      <c r="L440" s="24" t="s">
        <v>1359</v>
      </c>
      <c r="M440" s="1" t="str">
        <f>"342101196905121325"</f>
        <v>342101196905121325</v>
      </c>
      <c r="N440" s="24" t="s">
        <v>1359</v>
      </c>
      <c r="O440" s="1" t="str">
        <f>"342101196905121325"</f>
        <v>342101196905121325</v>
      </c>
      <c r="P440" s="23" t="s">
        <v>1360</v>
      </c>
      <c r="Q440" s="23">
        <v>45200</v>
      </c>
      <c r="R440" s="32">
        <v>45566</v>
      </c>
      <c r="V440" s="33">
        <v>200</v>
      </c>
      <c r="W440" s="28">
        <v>64.29</v>
      </c>
      <c r="X440" s="34" t="s">
        <v>54</v>
      </c>
      <c r="Y440" s="33">
        <v>128.58</v>
      </c>
      <c r="AC440" s="28">
        <v>64.29</v>
      </c>
      <c r="AD440" s="34" t="s">
        <v>54</v>
      </c>
      <c r="AE440" s="33">
        <v>128.58</v>
      </c>
      <c r="AN440" s="7" t="s">
        <v>54</v>
      </c>
      <c r="AO440" s="7" t="s">
        <v>55</v>
      </c>
      <c r="AP440" s="7" t="s">
        <v>56</v>
      </c>
      <c r="AT440" s="47" t="s">
        <v>57</v>
      </c>
      <c r="AU440" s="47" t="s">
        <v>57</v>
      </c>
    </row>
    <row r="441" spans="1:47">
      <c r="A441" s="4" t="s">
        <v>48</v>
      </c>
      <c r="C441" s="21"/>
      <c r="D441" s="22" t="s">
        <v>49</v>
      </c>
      <c r="G441" s="23">
        <v>45093</v>
      </c>
      <c r="H441" s="24" t="s">
        <v>1361</v>
      </c>
      <c r="J441" s="28" t="s">
        <v>51</v>
      </c>
      <c r="L441" s="24" t="s">
        <v>1362</v>
      </c>
      <c r="M441" s="1" t="str">
        <f>"341202196905023515"</f>
        <v>341202196905023515</v>
      </c>
      <c r="N441" s="24" t="s">
        <v>1362</v>
      </c>
      <c r="O441" s="1" t="str">
        <f>"341202196905023515"</f>
        <v>341202196905023515</v>
      </c>
      <c r="P441" s="23" t="s">
        <v>1363</v>
      </c>
      <c r="Q441" s="23">
        <v>45094</v>
      </c>
      <c r="R441" s="32">
        <v>45460</v>
      </c>
      <c r="V441" s="33">
        <v>200</v>
      </c>
      <c r="W441" s="28">
        <v>64.29</v>
      </c>
      <c r="X441" s="34" t="s">
        <v>54</v>
      </c>
      <c r="Y441" s="33">
        <v>128.58</v>
      </c>
      <c r="AC441" s="28">
        <v>64.29</v>
      </c>
      <c r="AD441" s="34" t="s">
        <v>54</v>
      </c>
      <c r="AE441" s="33">
        <v>128.58</v>
      </c>
      <c r="AN441" s="7" t="s">
        <v>54</v>
      </c>
      <c r="AO441" s="7" t="s">
        <v>55</v>
      </c>
      <c r="AP441" s="7" t="s">
        <v>56</v>
      </c>
      <c r="AT441" s="47" t="s">
        <v>57</v>
      </c>
      <c r="AU441" s="47" t="s">
        <v>57</v>
      </c>
    </row>
    <row r="442" spans="1:47">
      <c r="A442" s="4" t="s">
        <v>48</v>
      </c>
      <c r="C442" s="21"/>
      <c r="D442" s="22" t="s">
        <v>49</v>
      </c>
      <c r="G442" s="23">
        <v>45081</v>
      </c>
      <c r="H442" s="24" t="s">
        <v>1364</v>
      </c>
      <c r="J442" s="28" t="s">
        <v>51</v>
      </c>
      <c r="L442" s="24" t="s">
        <v>1365</v>
      </c>
      <c r="M442" s="1" t="str">
        <f>"513022198106190189"</f>
        <v>513022198106190189</v>
      </c>
      <c r="N442" s="24" t="s">
        <v>1365</v>
      </c>
      <c r="O442" s="1" t="str">
        <f>"513022198106190189"</f>
        <v>513022198106190189</v>
      </c>
      <c r="P442" s="23" t="s">
        <v>1366</v>
      </c>
      <c r="Q442" s="23">
        <v>45082</v>
      </c>
      <c r="R442" s="32">
        <v>45448</v>
      </c>
      <c r="V442" s="33">
        <v>50</v>
      </c>
      <c r="W442" s="28">
        <v>64.29</v>
      </c>
      <c r="X442" s="34" t="s">
        <v>54</v>
      </c>
      <c r="Y442" s="33">
        <v>32.15</v>
      </c>
      <c r="AC442" s="28">
        <v>64.29</v>
      </c>
      <c r="AD442" s="34" t="s">
        <v>54</v>
      </c>
      <c r="AE442" s="33">
        <v>32.15</v>
      </c>
      <c r="AN442" s="7" t="s">
        <v>54</v>
      </c>
      <c r="AO442" s="7" t="s">
        <v>55</v>
      </c>
      <c r="AP442" s="7" t="s">
        <v>56</v>
      </c>
      <c r="AT442" s="47" t="s">
        <v>57</v>
      </c>
      <c r="AU442" s="47" t="s">
        <v>57</v>
      </c>
    </row>
    <row r="443" spans="1:47">
      <c r="A443" s="4" t="s">
        <v>48</v>
      </c>
      <c r="C443" s="21"/>
      <c r="D443" s="22" t="s">
        <v>49</v>
      </c>
      <c r="G443" s="23">
        <v>45081</v>
      </c>
      <c r="H443" s="24" t="s">
        <v>1367</v>
      </c>
      <c r="J443" s="28" t="s">
        <v>51</v>
      </c>
      <c r="L443" s="24" t="s">
        <v>1368</v>
      </c>
      <c r="M443" s="1" t="str">
        <f>"34120419920417101X"</f>
        <v>34120419920417101X</v>
      </c>
      <c r="N443" s="24" t="s">
        <v>1368</v>
      </c>
      <c r="O443" s="1" t="str">
        <f>"34120419920417101X"</f>
        <v>34120419920417101X</v>
      </c>
      <c r="P443" s="23" t="s">
        <v>1369</v>
      </c>
      <c r="Q443" s="23">
        <v>45082</v>
      </c>
      <c r="R443" s="32">
        <v>45448</v>
      </c>
      <c r="V443" s="33">
        <v>50</v>
      </c>
      <c r="W443" s="28">
        <v>64.29</v>
      </c>
      <c r="X443" s="34" t="s">
        <v>54</v>
      </c>
      <c r="Y443" s="33">
        <v>32.15</v>
      </c>
      <c r="AC443" s="28">
        <v>64.29</v>
      </c>
      <c r="AD443" s="34" t="s">
        <v>54</v>
      </c>
      <c r="AE443" s="33">
        <v>32.15</v>
      </c>
      <c r="AN443" s="7" t="s">
        <v>54</v>
      </c>
      <c r="AO443" s="7" t="s">
        <v>55</v>
      </c>
      <c r="AP443" s="7" t="s">
        <v>56</v>
      </c>
      <c r="AT443" s="47" t="s">
        <v>57</v>
      </c>
      <c r="AU443" s="47" t="s">
        <v>57</v>
      </c>
    </row>
    <row r="444" spans="1:47">
      <c r="A444" s="4" t="s">
        <v>48</v>
      </c>
      <c r="C444" s="21"/>
      <c r="D444" s="22" t="s">
        <v>49</v>
      </c>
      <c r="G444" s="23">
        <v>45077</v>
      </c>
      <c r="H444" s="24" t="s">
        <v>1370</v>
      </c>
      <c r="J444" s="28" t="s">
        <v>51</v>
      </c>
      <c r="L444" s="24" t="s">
        <v>1371</v>
      </c>
      <c r="M444" s="1" t="str">
        <f>"34120319870308282X"</f>
        <v>34120319870308282X</v>
      </c>
      <c r="N444" s="24" t="s">
        <v>1371</v>
      </c>
      <c r="O444" s="1" t="str">
        <f>"34120319870308282X"</f>
        <v>34120319870308282X</v>
      </c>
      <c r="P444" s="23" t="s">
        <v>1372</v>
      </c>
      <c r="Q444" s="23">
        <v>45078</v>
      </c>
      <c r="R444" s="32">
        <v>45444</v>
      </c>
      <c r="V444" s="33">
        <v>50</v>
      </c>
      <c r="W444" s="28">
        <v>64.29</v>
      </c>
      <c r="X444" s="34" t="s">
        <v>54</v>
      </c>
      <c r="Y444" s="33">
        <v>32.15</v>
      </c>
      <c r="AC444" s="28">
        <v>64.29</v>
      </c>
      <c r="AD444" s="34" t="s">
        <v>54</v>
      </c>
      <c r="AE444" s="33">
        <v>32.15</v>
      </c>
      <c r="AN444" s="7" t="s">
        <v>54</v>
      </c>
      <c r="AO444" s="7" t="s">
        <v>55</v>
      </c>
      <c r="AP444" s="7" t="s">
        <v>56</v>
      </c>
      <c r="AT444" s="47" t="s">
        <v>57</v>
      </c>
      <c r="AU444" s="47" t="s">
        <v>57</v>
      </c>
    </row>
    <row r="445" spans="1:47">
      <c r="A445" s="4" t="s">
        <v>48</v>
      </c>
      <c r="C445" s="21"/>
      <c r="D445" s="22" t="s">
        <v>49</v>
      </c>
      <c r="G445" s="23">
        <v>45077</v>
      </c>
      <c r="H445" s="24" t="s">
        <v>1373</v>
      </c>
      <c r="J445" s="28" t="s">
        <v>51</v>
      </c>
      <c r="L445" s="24" t="s">
        <v>1374</v>
      </c>
      <c r="M445" s="1" t="str">
        <f>"341204198109230814"</f>
        <v>341204198109230814</v>
      </c>
      <c r="N445" s="24" t="s">
        <v>1374</v>
      </c>
      <c r="O445" s="1" t="str">
        <f>"341204198109230814"</f>
        <v>341204198109230814</v>
      </c>
      <c r="P445" s="23" t="s">
        <v>1375</v>
      </c>
      <c r="Q445" s="23">
        <v>45078</v>
      </c>
      <c r="R445" s="32">
        <v>45444</v>
      </c>
      <c r="V445" s="33">
        <v>50</v>
      </c>
      <c r="W445" s="28">
        <v>64.29</v>
      </c>
      <c r="X445" s="34" t="s">
        <v>54</v>
      </c>
      <c r="Y445" s="33">
        <v>32.15</v>
      </c>
      <c r="AC445" s="28">
        <v>64.29</v>
      </c>
      <c r="AD445" s="34" t="s">
        <v>54</v>
      </c>
      <c r="AE445" s="33">
        <v>32.15</v>
      </c>
      <c r="AN445" s="7" t="s">
        <v>54</v>
      </c>
      <c r="AO445" s="7" t="s">
        <v>55</v>
      </c>
      <c r="AP445" s="7" t="s">
        <v>56</v>
      </c>
      <c r="AT445" s="47" t="s">
        <v>57</v>
      </c>
      <c r="AU445" s="47" t="s">
        <v>57</v>
      </c>
    </row>
    <row r="446" spans="1:47">
      <c r="A446" s="4" t="s">
        <v>48</v>
      </c>
      <c r="C446" s="21"/>
      <c r="D446" s="22" t="s">
        <v>49</v>
      </c>
      <c r="G446" s="23">
        <v>45078</v>
      </c>
      <c r="H446" s="24" t="s">
        <v>1376</v>
      </c>
      <c r="J446" s="28" t="s">
        <v>51</v>
      </c>
      <c r="L446" s="24" t="s">
        <v>1377</v>
      </c>
      <c r="M446" s="1" t="str">
        <f>"34120219940528152X"</f>
        <v>34120219940528152X</v>
      </c>
      <c r="N446" s="24" t="s">
        <v>1377</v>
      </c>
      <c r="O446" s="1" t="str">
        <f>"34120219940528152X"</f>
        <v>34120219940528152X</v>
      </c>
      <c r="P446" s="23" t="s">
        <v>1378</v>
      </c>
      <c r="Q446" s="23">
        <v>45079</v>
      </c>
      <c r="R446" s="32">
        <v>45445</v>
      </c>
      <c r="V446" s="33">
        <v>50</v>
      </c>
      <c r="W446" s="28">
        <v>64.29</v>
      </c>
      <c r="X446" s="34" t="s">
        <v>54</v>
      </c>
      <c r="Y446" s="33">
        <v>32.15</v>
      </c>
      <c r="AC446" s="28">
        <v>64.29</v>
      </c>
      <c r="AD446" s="34" t="s">
        <v>54</v>
      </c>
      <c r="AE446" s="33">
        <v>32.15</v>
      </c>
      <c r="AN446" s="7" t="s">
        <v>54</v>
      </c>
      <c r="AO446" s="7" t="s">
        <v>55</v>
      </c>
      <c r="AP446" s="7" t="s">
        <v>56</v>
      </c>
      <c r="AT446" s="47" t="s">
        <v>57</v>
      </c>
      <c r="AU446" s="47" t="s">
        <v>57</v>
      </c>
    </row>
    <row r="447" spans="1:47">
      <c r="A447" s="4" t="s">
        <v>48</v>
      </c>
      <c r="C447" s="21"/>
      <c r="D447" s="22" t="s">
        <v>49</v>
      </c>
      <c r="G447" s="23">
        <v>45079</v>
      </c>
      <c r="H447" s="24" t="s">
        <v>1379</v>
      </c>
      <c r="J447" s="28" t="s">
        <v>51</v>
      </c>
      <c r="L447" s="24" t="s">
        <v>1380</v>
      </c>
      <c r="M447" s="1" t="str">
        <f>"342101196512241019"</f>
        <v>342101196512241019</v>
      </c>
      <c r="N447" s="24" t="s">
        <v>1380</v>
      </c>
      <c r="O447" s="1" t="str">
        <f>"342101196512241019"</f>
        <v>342101196512241019</v>
      </c>
      <c r="P447" s="23" t="s">
        <v>1381</v>
      </c>
      <c r="Q447" s="23">
        <v>45080</v>
      </c>
      <c r="R447" s="32">
        <v>45446</v>
      </c>
      <c r="V447" s="33">
        <v>50</v>
      </c>
      <c r="W447" s="28">
        <v>64.29</v>
      </c>
      <c r="X447" s="34" t="s">
        <v>54</v>
      </c>
      <c r="Y447" s="33">
        <v>32.15</v>
      </c>
      <c r="AC447" s="28">
        <v>64.29</v>
      </c>
      <c r="AD447" s="34" t="s">
        <v>54</v>
      </c>
      <c r="AE447" s="33">
        <v>32.15</v>
      </c>
      <c r="AN447" s="7" t="s">
        <v>54</v>
      </c>
      <c r="AO447" s="7" t="s">
        <v>55</v>
      </c>
      <c r="AP447" s="7" t="s">
        <v>56</v>
      </c>
      <c r="AT447" s="47" t="s">
        <v>57</v>
      </c>
      <c r="AU447" s="47" t="s">
        <v>57</v>
      </c>
    </row>
    <row r="448" spans="1:47">
      <c r="A448" s="4" t="s">
        <v>48</v>
      </c>
      <c r="C448" s="21"/>
      <c r="D448" s="22" t="s">
        <v>49</v>
      </c>
      <c r="G448" s="23">
        <v>45096</v>
      </c>
      <c r="H448" s="24" t="s">
        <v>1382</v>
      </c>
      <c r="J448" s="28" t="s">
        <v>51</v>
      </c>
      <c r="L448" s="24" t="s">
        <v>1383</v>
      </c>
      <c r="M448" s="1" t="str">
        <f>"131026198509265125"</f>
        <v>131026198509265125</v>
      </c>
      <c r="N448" s="24" t="s">
        <v>1383</v>
      </c>
      <c r="O448" s="1" t="str">
        <f>"131026198509265125"</f>
        <v>131026198509265125</v>
      </c>
      <c r="P448" s="23" t="s">
        <v>1384</v>
      </c>
      <c r="Q448" s="23">
        <v>45219</v>
      </c>
      <c r="R448" s="32">
        <v>45585</v>
      </c>
      <c r="V448" s="33">
        <v>100</v>
      </c>
      <c r="W448" s="28">
        <v>64.29</v>
      </c>
      <c r="X448" s="34" t="s">
        <v>54</v>
      </c>
      <c r="Y448" s="33">
        <v>64.29</v>
      </c>
      <c r="AC448" s="28">
        <v>64.29</v>
      </c>
      <c r="AD448" s="34" t="s">
        <v>54</v>
      </c>
      <c r="AE448" s="33">
        <v>64.29</v>
      </c>
      <c r="AN448" s="7" t="s">
        <v>54</v>
      </c>
      <c r="AO448" s="7" t="s">
        <v>55</v>
      </c>
      <c r="AP448" s="7" t="s">
        <v>56</v>
      </c>
      <c r="AT448" s="47" t="s">
        <v>57</v>
      </c>
      <c r="AU448" s="47" t="s">
        <v>57</v>
      </c>
    </row>
    <row r="449" spans="1:47">
      <c r="A449" s="4" t="s">
        <v>48</v>
      </c>
      <c r="C449" s="21"/>
      <c r="D449" s="22" t="s">
        <v>49</v>
      </c>
      <c r="G449" s="23">
        <v>45093</v>
      </c>
      <c r="H449" s="24" t="s">
        <v>1385</v>
      </c>
      <c r="J449" s="28" t="s">
        <v>51</v>
      </c>
      <c r="L449" s="24" t="s">
        <v>1386</v>
      </c>
      <c r="M449" s="1" t="str">
        <f>"131082198902060039"</f>
        <v>131082198902060039</v>
      </c>
      <c r="N449" s="24" t="s">
        <v>1386</v>
      </c>
      <c r="O449" s="1" t="str">
        <f>"131082198902060039"</f>
        <v>131082198902060039</v>
      </c>
      <c r="P449" s="23" t="s">
        <v>1387</v>
      </c>
      <c r="Q449" s="23">
        <v>45216</v>
      </c>
      <c r="R449" s="32">
        <v>45582</v>
      </c>
      <c r="V449" s="33">
        <v>100</v>
      </c>
      <c r="W449" s="28">
        <v>64.29</v>
      </c>
      <c r="X449" s="34" t="s">
        <v>54</v>
      </c>
      <c r="Y449" s="33">
        <v>64.29</v>
      </c>
      <c r="AC449" s="28">
        <v>64.29</v>
      </c>
      <c r="AD449" s="34" t="s">
        <v>54</v>
      </c>
      <c r="AE449" s="33">
        <v>64.29</v>
      </c>
      <c r="AN449" s="7" t="s">
        <v>54</v>
      </c>
      <c r="AO449" s="7" t="s">
        <v>55</v>
      </c>
      <c r="AP449" s="7" t="s">
        <v>56</v>
      </c>
      <c r="AT449" s="47" t="s">
        <v>57</v>
      </c>
      <c r="AU449" s="47" t="s">
        <v>57</v>
      </c>
    </row>
    <row r="450" spans="1:47">
      <c r="A450" s="4" t="s">
        <v>48</v>
      </c>
      <c r="C450" s="21"/>
      <c r="D450" s="22" t="s">
        <v>49</v>
      </c>
      <c r="G450" s="23">
        <v>45096</v>
      </c>
      <c r="H450" s="24" t="s">
        <v>1388</v>
      </c>
      <c r="J450" s="28" t="s">
        <v>51</v>
      </c>
      <c r="L450" s="24" t="s">
        <v>1389</v>
      </c>
      <c r="M450" s="1" t="str">
        <f>"410526198911011581"</f>
        <v>410526198911011581</v>
      </c>
      <c r="N450" s="24" t="s">
        <v>1389</v>
      </c>
      <c r="O450" s="1" t="str">
        <f>"410526198911011581"</f>
        <v>410526198911011581</v>
      </c>
      <c r="P450" s="23" t="s">
        <v>1390</v>
      </c>
      <c r="Q450" s="23">
        <v>45219</v>
      </c>
      <c r="R450" s="32">
        <v>45585</v>
      </c>
      <c r="V450" s="33">
        <v>100</v>
      </c>
      <c r="W450" s="28">
        <v>64.29</v>
      </c>
      <c r="X450" s="34" t="s">
        <v>54</v>
      </c>
      <c r="Y450" s="33">
        <v>64.29</v>
      </c>
      <c r="AC450" s="28">
        <v>64.29</v>
      </c>
      <c r="AD450" s="34" t="s">
        <v>54</v>
      </c>
      <c r="AE450" s="33">
        <v>64.29</v>
      </c>
      <c r="AN450" s="7" t="s">
        <v>54</v>
      </c>
      <c r="AO450" s="7" t="s">
        <v>55</v>
      </c>
      <c r="AP450" s="7" t="s">
        <v>56</v>
      </c>
      <c r="AT450" s="47" t="s">
        <v>57</v>
      </c>
      <c r="AU450" s="47" t="s">
        <v>57</v>
      </c>
    </row>
    <row r="451" spans="1:47">
      <c r="A451" s="4" t="s">
        <v>48</v>
      </c>
      <c r="C451" s="21"/>
      <c r="D451" s="22" t="s">
        <v>49</v>
      </c>
      <c r="G451" s="23">
        <v>45093</v>
      </c>
      <c r="H451" s="24" t="s">
        <v>1391</v>
      </c>
      <c r="J451" s="28" t="s">
        <v>51</v>
      </c>
      <c r="L451" s="24" t="s">
        <v>1392</v>
      </c>
      <c r="M451" s="1" t="str">
        <f>"341225198907118546"</f>
        <v>341225198907118546</v>
      </c>
      <c r="N451" s="24" t="s">
        <v>1392</v>
      </c>
      <c r="O451" s="1" t="str">
        <f>"341225198907118546"</f>
        <v>341225198907118546</v>
      </c>
      <c r="P451" s="23" t="s">
        <v>1393</v>
      </c>
      <c r="Q451" s="23">
        <v>45216</v>
      </c>
      <c r="R451" s="32">
        <v>45582</v>
      </c>
      <c r="V451" s="33">
        <v>100</v>
      </c>
      <c r="W451" s="28">
        <v>64.29</v>
      </c>
      <c r="X451" s="34" t="s">
        <v>54</v>
      </c>
      <c r="Y451" s="33">
        <v>64.29</v>
      </c>
      <c r="AC451" s="28">
        <v>64.29</v>
      </c>
      <c r="AD451" s="34" t="s">
        <v>54</v>
      </c>
      <c r="AE451" s="33">
        <v>64.29</v>
      </c>
      <c r="AN451" s="7" t="s">
        <v>54</v>
      </c>
      <c r="AO451" s="7" t="s">
        <v>55</v>
      </c>
      <c r="AP451" s="7" t="s">
        <v>56</v>
      </c>
      <c r="AT451" s="47" t="s">
        <v>57</v>
      </c>
      <c r="AU451" s="47" t="s">
        <v>57</v>
      </c>
    </row>
    <row r="452" spans="1:47">
      <c r="A452" s="4" t="s">
        <v>48</v>
      </c>
      <c r="C452" s="21"/>
      <c r="D452" s="22" t="s">
        <v>49</v>
      </c>
      <c r="G452" s="23">
        <v>45084</v>
      </c>
      <c r="H452" s="24" t="s">
        <v>1394</v>
      </c>
      <c r="J452" s="28" t="s">
        <v>51</v>
      </c>
      <c r="L452" s="24" t="s">
        <v>1395</v>
      </c>
      <c r="M452" s="1" t="str">
        <f>"220524199312231722"</f>
        <v>220524199312231722</v>
      </c>
      <c r="N452" s="24" t="s">
        <v>1395</v>
      </c>
      <c r="O452" s="1" t="str">
        <f>"220524199312231722"</f>
        <v>220524199312231722</v>
      </c>
      <c r="P452" s="23" t="s">
        <v>1396</v>
      </c>
      <c r="Q452" s="23">
        <v>45085</v>
      </c>
      <c r="R452" s="32">
        <v>45451</v>
      </c>
      <c r="V452" s="33">
        <v>100</v>
      </c>
      <c r="W452" s="28">
        <v>64.29</v>
      </c>
      <c r="X452" s="34" t="s">
        <v>54</v>
      </c>
      <c r="Y452" s="33">
        <v>64.29</v>
      </c>
      <c r="AC452" s="28">
        <v>64.29</v>
      </c>
      <c r="AD452" s="34" t="s">
        <v>54</v>
      </c>
      <c r="AE452" s="33">
        <v>64.29</v>
      </c>
      <c r="AN452" s="7" t="s">
        <v>54</v>
      </c>
      <c r="AO452" s="7" t="s">
        <v>55</v>
      </c>
      <c r="AP452" s="7" t="s">
        <v>56</v>
      </c>
      <c r="AT452" s="47" t="s">
        <v>57</v>
      </c>
      <c r="AU452" s="47" t="s">
        <v>57</v>
      </c>
    </row>
    <row r="453" spans="1:47">
      <c r="A453" s="4" t="s">
        <v>48</v>
      </c>
      <c r="C453" s="21"/>
      <c r="D453" s="22" t="s">
        <v>49</v>
      </c>
      <c r="G453" s="23">
        <v>45083</v>
      </c>
      <c r="H453" s="24" t="s">
        <v>1397</v>
      </c>
      <c r="J453" s="28" t="s">
        <v>51</v>
      </c>
      <c r="L453" s="24" t="s">
        <v>1398</v>
      </c>
      <c r="M453" s="1" t="str">
        <f>"342121195108146846"</f>
        <v>342121195108146846</v>
      </c>
      <c r="N453" s="24" t="s">
        <v>1398</v>
      </c>
      <c r="O453" s="1" t="str">
        <f>"342121195108146846"</f>
        <v>342121195108146846</v>
      </c>
      <c r="P453" s="23" t="s">
        <v>1399</v>
      </c>
      <c r="Q453" s="23">
        <v>45115</v>
      </c>
      <c r="R453" s="32">
        <v>45481</v>
      </c>
      <c r="V453" s="33">
        <v>100</v>
      </c>
      <c r="W453" s="28">
        <v>64.29</v>
      </c>
      <c r="X453" s="34" t="s">
        <v>54</v>
      </c>
      <c r="Y453" s="33">
        <v>64.29</v>
      </c>
      <c r="AC453" s="28">
        <v>64.29</v>
      </c>
      <c r="AD453" s="34" t="s">
        <v>54</v>
      </c>
      <c r="AE453" s="33">
        <v>64.29</v>
      </c>
      <c r="AN453" s="7" t="s">
        <v>54</v>
      </c>
      <c r="AO453" s="7" t="s">
        <v>55</v>
      </c>
      <c r="AP453" s="7" t="s">
        <v>56</v>
      </c>
      <c r="AT453" s="47" t="s">
        <v>57</v>
      </c>
      <c r="AU453" s="47" t="s">
        <v>57</v>
      </c>
    </row>
    <row r="454" spans="1:47">
      <c r="A454" s="4" t="s">
        <v>48</v>
      </c>
      <c r="C454" s="21"/>
      <c r="D454" s="22" t="s">
        <v>49</v>
      </c>
      <c r="G454" s="23">
        <v>45083</v>
      </c>
      <c r="H454" s="24" t="s">
        <v>1400</v>
      </c>
      <c r="J454" s="28" t="s">
        <v>51</v>
      </c>
      <c r="L454" s="24" t="s">
        <v>1401</v>
      </c>
      <c r="M454" s="1" t="str">
        <f>"131082198610274131"</f>
        <v>131082198610274131</v>
      </c>
      <c r="N454" s="24" t="s">
        <v>1401</v>
      </c>
      <c r="O454" s="1" t="str">
        <f>"131082198610274131"</f>
        <v>131082198610274131</v>
      </c>
      <c r="P454" s="23" t="s">
        <v>1402</v>
      </c>
      <c r="Q454" s="23">
        <v>45200</v>
      </c>
      <c r="R454" s="32">
        <v>45566</v>
      </c>
      <c r="V454" s="33">
        <v>100</v>
      </c>
      <c r="W454" s="28">
        <v>64.29</v>
      </c>
      <c r="X454" s="34" t="s">
        <v>54</v>
      </c>
      <c r="Y454" s="33">
        <v>64.29</v>
      </c>
      <c r="AC454" s="28">
        <v>64.29</v>
      </c>
      <c r="AD454" s="34" t="s">
        <v>54</v>
      </c>
      <c r="AE454" s="33">
        <v>64.29</v>
      </c>
      <c r="AN454" s="7" t="s">
        <v>54</v>
      </c>
      <c r="AO454" s="7" t="s">
        <v>55</v>
      </c>
      <c r="AP454" s="7" t="s">
        <v>56</v>
      </c>
      <c r="AT454" s="47" t="s">
        <v>57</v>
      </c>
      <c r="AU454" s="47" t="s">
        <v>57</v>
      </c>
    </row>
    <row r="455" spans="1:47">
      <c r="A455" s="4" t="s">
        <v>48</v>
      </c>
      <c r="C455" s="21"/>
      <c r="D455" s="22" t="s">
        <v>49</v>
      </c>
      <c r="G455" s="23">
        <v>45083</v>
      </c>
      <c r="H455" s="24" t="s">
        <v>1403</v>
      </c>
      <c r="J455" s="28" t="s">
        <v>51</v>
      </c>
      <c r="L455" s="24" t="s">
        <v>1404</v>
      </c>
      <c r="M455" s="1" t="str">
        <f>"15022219761226321X"</f>
        <v>15022219761226321X</v>
      </c>
      <c r="N455" s="24" t="s">
        <v>1404</v>
      </c>
      <c r="O455" s="1" t="str">
        <f>"15022219761226321X"</f>
        <v>15022219761226321X</v>
      </c>
      <c r="P455" s="23" t="s">
        <v>1405</v>
      </c>
      <c r="Q455" s="23">
        <v>45267</v>
      </c>
      <c r="R455" s="32">
        <v>45633</v>
      </c>
      <c r="V455" s="33">
        <v>100</v>
      </c>
      <c r="W455" s="28">
        <v>64.29</v>
      </c>
      <c r="X455" s="34" t="s">
        <v>54</v>
      </c>
      <c r="Y455" s="33">
        <v>64.29</v>
      </c>
      <c r="AC455" s="28">
        <v>64.29</v>
      </c>
      <c r="AD455" s="34" t="s">
        <v>54</v>
      </c>
      <c r="AE455" s="33">
        <v>64.29</v>
      </c>
      <c r="AN455" s="7" t="s">
        <v>54</v>
      </c>
      <c r="AO455" s="7" t="s">
        <v>55</v>
      </c>
      <c r="AP455" s="7" t="s">
        <v>56</v>
      </c>
      <c r="AT455" s="47" t="s">
        <v>57</v>
      </c>
      <c r="AU455" s="47" t="s">
        <v>57</v>
      </c>
    </row>
    <row r="456" spans="1:47">
      <c r="A456" s="4" t="s">
        <v>48</v>
      </c>
      <c r="C456" s="21"/>
      <c r="D456" s="22" t="s">
        <v>49</v>
      </c>
      <c r="G456" s="23">
        <v>45079</v>
      </c>
      <c r="H456" s="24" t="s">
        <v>1406</v>
      </c>
      <c r="J456" s="28" t="s">
        <v>51</v>
      </c>
      <c r="L456" s="24" t="s">
        <v>1407</v>
      </c>
      <c r="M456" s="1" t="str">
        <f>"34210119510617061X"</f>
        <v>34210119510617061X</v>
      </c>
      <c r="N456" s="24" t="s">
        <v>1407</v>
      </c>
      <c r="O456" s="1" t="str">
        <f>"34210119510617061X"</f>
        <v>34210119510617061X</v>
      </c>
      <c r="P456" s="23" t="s">
        <v>1408</v>
      </c>
      <c r="Q456" s="23">
        <v>45080</v>
      </c>
      <c r="R456" s="32">
        <v>45446</v>
      </c>
      <c r="V456" s="33">
        <v>100</v>
      </c>
      <c r="W456" s="28">
        <v>64.29</v>
      </c>
      <c r="X456" s="34" t="s">
        <v>54</v>
      </c>
      <c r="Y456" s="33">
        <v>64.29</v>
      </c>
      <c r="AC456" s="28">
        <v>64.29</v>
      </c>
      <c r="AD456" s="34" t="s">
        <v>54</v>
      </c>
      <c r="AE456" s="33">
        <v>64.29</v>
      </c>
      <c r="AN456" s="7" t="s">
        <v>54</v>
      </c>
      <c r="AO456" s="7" t="s">
        <v>55</v>
      </c>
      <c r="AP456" s="7" t="s">
        <v>56</v>
      </c>
      <c r="AT456" s="47" t="s">
        <v>57</v>
      </c>
      <c r="AU456" s="47" t="s">
        <v>57</v>
      </c>
    </row>
    <row r="457" spans="1:47">
      <c r="A457" s="4" t="s">
        <v>48</v>
      </c>
      <c r="C457" s="21"/>
      <c r="D457" s="22" t="s">
        <v>49</v>
      </c>
      <c r="G457" s="23">
        <v>45091</v>
      </c>
      <c r="H457" s="24" t="s">
        <v>1409</v>
      </c>
      <c r="J457" s="28" t="s">
        <v>51</v>
      </c>
      <c r="L457" s="24" t="s">
        <v>1410</v>
      </c>
      <c r="M457" s="1" t="str">
        <f>"131082198905105837"</f>
        <v>131082198905105837</v>
      </c>
      <c r="N457" s="24" t="s">
        <v>1410</v>
      </c>
      <c r="O457" s="1" t="str">
        <f>"131082198905105837"</f>
        <v>131082198905105837</v>
      </c>
      <c r="P457" s="23" t="s">
        <v>1411</v>
      </c>
      <c r="Q457" s="23">
        <v>45092</v>
      </c>
      <c r="R457" s="32">
        <v>45458</v>
      </c>
      <c r="V457" s="33">
        <v>200</v>
      </c>
      <c r="W457" s="28">
        <v>64.29</v>
      </c>
      <c r="X457" s="34" t="s">
        <v>54</v>
      </c>
      <c r="Y457" s="33">
        <v>128.58</v>
      </c>
      <c r="AC457" s="28">
        <v>64.29</v>
      </c>
      <c r="AD457" s="34" t="s">
        <v>54</v>
      </c>
      <c r="AE457" s="33">
        <v>128.58</v>
      </c>
      <c r="AN457" s="7" t="s">
        <v>54</v>
      </c>
      <c r="AO457" s="7" t="s">
        <v>55</v>
      </c>
      <c r="AP457" s="7" t="s">
        <v>56</v>
      </c>
      <c r="AT457" s="47" t="s">
        <v>57</v>
      </c>
      <c r="AU457" s="47" t="s">
        <v>57</v>
      </c>
    </row>
    <row r="458" spans="1:47">
      <c r="A458" s="4" t="s">
        <v>48</v>
      </c>
      <c r="C458" s="21"/>
      <c r="D458" s="22" t="s">
        <v>49</v>
      </c>
      <c r="G458" s="23">
        <v>45091</v>
      </c>
      <c r="H458" s="24" t="s">
        <v>1412</v>
      </c>
      <c r="J458" s="28" t="s">
        <v>51</v>
      </c>
      <c r="L458" s="24" t="s">
        <v>1413</v>
      </c>
      <c r="M458" s="1" t="str">
        <f>"412827199911061529"</f>
        <v>412827199911061529</v>
      </c>
      <c r="N458" s="24" t="s">
        <v>1413</v>
      </c>
      <c r="O458" s="1" t="str">
        <f>"412827199911061529"</f>
        <v>412827199911061529</v>
      </c>
      <c r="P458" s="23" t="s">
        <v>1414</v>
      </c>
      <c r="Q458" s="23">
        <v>45092</v>
      </c>
      <c r="R458" s="32">
        <v>45458</v>
      </c>
      <c r="V458" s="33">
        <v>200</v>
      </c>
      <c r="W458" s="28">
        <v>64.29</v>
      </c>
      <c r="X458" s="34" t="s">
        <v>54</v>
      </c>
      <c r="Y458" s="33">
        <v>128.58</v>
      </c>
      <c r="AC458" s="28">
        <v>64.29</v>
      </c>
      <c r="AD458" s="34" t="s">
        <v>54</v>
      </c>
      <c r="AE458" s="33">
        <v>128.58</v>
      </c>
      <c r="AN458" s="7" t="s">
        <v>54</v>
      </c>
      <c r="AO458" s="7" t="s">
        <v>55</v>
      </c>
      <c r="AP458" s="7" t="s">
        <v>56</v>
      </c>
      <c r="AT458" s="47" t="s">
        <v>57</v>
      </c>
      <c r="AU458" s="47" t="s">
        <v>57</v>
      </c>
    </row>
    <row r="459" spans="1:47">
      <c r="A459" s="4" t="s">
        <v>48</v>
      </c>
      <c r="C459" s="21"/>
      <c r="D459" s="22" t="s">
        <v>49</v>
      </c>
      <c r="G459" s="23">
        <v>45091</v>
      </c>
      <c r="H459" s="24" t="s">
        <v>1415</v>
      </c>
      <c r="J459" s="28" t="s">
        <v>51</v>
      </c>
      <c r="L459" s="24" t="s">
        <v>1416</v>
      </c>
      <c r="M459" s="1" t="str">
        <f>"341282198210156021"</f>
        <v>341282198210156021</v>
      </c>
      <c r="N459" s="24" t="s">
        <v>1416</v>
      </c>
      <c r="O459" s="1" t="str">
        <f>"341282198210156021"</f>
        <v>341282198210156021</v>
      </c>
      <c r="P459" s="23" t="s">
        <v>1417</v>
      </c>
      <c r="Q459" s="23">
        <v>45092</v>
      </c>
      <c r="R459" s="32">
        <v>45458</v>
      </c>
      <c r="V459" s="33">
        <v>200</v>
      </c>
      <c r="W459" s="28">
        <v>64.29</v>
      </c>
      <c r="X459" s="34" t="s">
        <v>54</v>
      </c>
      <c r="Y459" s="33">
        <v>128.58</v>
      </c>
      <c r="AC459" s="28">
        <v>64.29</v>
      </c>
      <c r="AD459" s="34" t="s">
        <v>54</v>
      </c>
      <c r="AE459" s="33">
        <v>128.58</v>
      </c>
      <c r="AN459" s="7" t="s">
        <v>54</v>
      </c>
      <c r="AO459" s="7" t="s">
        <v>55</v>
      </c>
      <c r="AP459" s="7" t="s">
        <v>56</v>
      </c>
      <c r="AT459" s="47" t="s">
        <v>57</v>
      </c>
      <c r="AU459" s="47" t="s">
        <v>57</v>
      </c>
    </row>
    <row r="460" spans="1:47">
      <c r="A460" s="4" t="s">
        <v>48</v>
      </c>
      <c r="C460" s="21"/>
      <c r="D460" s="22" t="s">
        <v>49</v>
      </c>
      <c r="G460" s="23">
        <v>45092</v>
      </c>
      <c r="H460" s="24" t="s">
        <v>1418</v>
      </c>
      <c r="J460" s="28" t="s">
        <v>51</v>
      </c>
      <c r="L460" s="24" t="s">
        <v>1419</v>
      </c>
      <c r="M460" s="1" t="str">
        <f>"132902196501196815"</f>
        <v>132902196501196815</v>
      </c>
      <c r="N460" s="24" t="s">
        <v>1419</v>
      </c>
      <c r="O460" s="1" t="str">
        <f>"132902196501196815"</f>
        <v>132902196501196815</v>
      </c>
      <c r="P460" s="23" t="s">
        <v>1420</v>
      </c>
      <c r="Q460" s="23">
        <v>45093</v>
      </c>
      <c r="R460" s="32">
        <v>45459</v>
      </c>
      <c r="V460" s="33">
        <v>200</v>
      </c>
      <c r="W460" s="28">
        <v>64.29</v>
      </c>
      <c r="X460" s="34" t="s">
        <v>54</v>
      </c>
      <c r="Y460" s="33">
        <v>128.58</v>
      </c>
      <c r="AC460" s="28">
        <v>64.29</v>
      </c>
      <c r="AD460" s="34" t="s">
        <v>54</v>
      </c>
      <c r="AE460" s="33">
        <v>128.58</v>
      </c>
      <c r="AN460" s="7" t="s">
        <v>54</v>
      </c>
      <c r="AO460" s="7" t="s">
        <v>55</v>
      </c>
      <c r="AP460" s="7" t="s">
        <v>56</v>
      </c>
      <c r="AT460" s="47" t="s">
        <v>57</v>
      </c>
      <c r="AU460" s="47" t="s">
        <v>57</v>
      </c>
    </row>
    <row r="461" spans="1:47">
      <c r="A461" s="4" t="s">
        <v>48</v>
      </c>
      <c r="C461" s="21"/>
      <c r="D461" s="22" t="s">
        <v>49</v>
      </c>
      <c r="G461" s="23">
        <v>45075</v>
      </c>
      <c r="H461" s="24" t="s">
        <v>1421</v>
      </c>
      <c r="J461" s="28" t="s">
        <v>51</v>
      </c>
      <c r="L461" s="24" t="s">
        <v>1422</v>
      </c>
      <c r="M461" s="1" t="str">
        <f>"341221198404024411"</f>
        <v>341221198404024411</v>
      </c>
      <c r="N461" s="24" t="s">
        <v>1422</v>
      </c>
      <c r="O461" s="1" t="str">
        <f>"341221198404024411"</f>
        <v>341221198404024411</v>
      </c>
      <c r="P461" s="23" t="s">
        <v>1423</v>
      </c>
      <c r="Q461" s="23">
        <v>45148</v>
      </c>
      <c r="R461" s="32">
        <v>45514</v>
      </c>
      <c r="V461" s="33">
        <v>50</v>
      </c>
      <c r="W461" s="28">
        <v>64.29</v>
      </c>
      <c r="X461" s="34" t="s">
        <v>54</v>
      </c>
      <c r="Y461" s="33">
        <v>32.15</v>
      </c>
      <c r="AC461" s="28">
        <v>64.29</v>
      </c>
      <c r="AD461" s="34" t="s">
        <v>54</v>
      </c>
      <c r="AE461" s="33">
        <v>32.15</v>
      </c>
      <c r="AN461" s="7" t="s">
        <v>54</v>
      </c>
      <c r="AO461" s="7" t="s">
        <v>55</v>
      </c>
      <c r="AP461" s="7" t="s">
        <v>56</v>
      </c>
      <c r="AT461" s="47" t="s">
        <v>57</v>
      </c>
      <c r="AU461" s="47" t="s">
        <v>57</v>
      </c>
    </row>
    <row r="462" spans="1:47">
      <c r="A462" s="4" t="s">
        <v>48</v>
      </c>
      <c r="C462" s="21"/>
      <c r="D462" s="22" t="s">
        <v>49</v>
      </c>
      <c r="G462" s="23">
        <v>45075</v>
      </c>
      <c r="H462" s="24" t="s">
        <v>1424</v>
      </c>
      <c r="J462" s="28" t="s">
        <v>51</v>
      </c>
      <c r="L462" s="24" t="s">
        <v>1425</v>
      </c>
      <c r="M462" s="1" t="str">
        <f>"220403197006113983"</f>
        <v>220403197006113983</v>
      </c>
      <c r="N462" s="24" t="s">
        <v>1425</v>
      </c>
      <c r="O462" s="1" t="str">
        <f>"220403197006113983"</f>
        <v>220403197006113983</v>
      </c>
      <c r="P462" s="23" t="s">
        <v>1426</v>
      </c>
      <c r="Q462" s="23">
        <v>45442</v>
      </c>
      <c r="R462" s="32">
        <v>45807</v>
      </c>
      <c r="V462" s="33">
        <v>50</v>
      </c>
      <c r="W462" s="28">
        <v>64.29</v>
      </c>
      <c r="X462" s="34" t="s">
        <v>54</v>
      </c>
      <c r="Y462" s="33">
        <v>32.15</v>
      </c>
      <c r="AC462" s="28">
        <v>64.29</v>
      </c>
      <c r="AD462" s="34" t="s">
        <v>54</v>
      </c>
      <c r="AE462" s="33">
        <v>32.15</v>
      </c>
      <c r="AN462" s="7" t="s">
        <v>54</v>
      </c>
      <c r="AO462" s="7" t="s">
        <v>55</v>
      </c>
      <c r="AP462" s="7" t="s">
        <v>56</v>
      </c>
      <c r="AT462" s="47" t="s">
        <v>57</v>
      </c>
      <c r="AU462" s="47" t="s">
        <v>57</v>
      </c>
    </row>
    <row r="463" spans="1:47">
      <c r="A463" s="4" t="s">
        <v>48</v>
      </c>
      <c r="C463" s="21"/>
      <c r="D463" s="22" t="s">
        <v>49</v>
      </c>
      <c r="G463" s="23">
        <v>45075</v>
      </c>
      <c r="H463" s="24" t="s">
        <v>1427</v>
      </c>
      <c r="J463" s="28" t="s">
        <v>51</v>
      </c>
      <c r="L463" s="24" t="s">
        <v>1425</v>
      </c>
      <c r="M463" s="1" t="str">
        <f>"110108196208252231"</f>
        <v>110108196208252231</v>
      </c>
      <c r="N463" s="24" t="s">
        <v>1425</v>
      </c>
      <c r="O463" s="1" t="str">
        <f>"110108196208252231"</f>
        <v>110108196208252231</v>
      </c>
      <c r="P463" s="23" t="s">
        <v>1428</v>
      </c>
      <c r="Q463" s="23">
        <v>45076</v>
      </c>
      <c r="R463" s="32">
        <v>45442</v>
      </c>
      <c r="V463" s="33">
        <v>50</v>
      </c>
      <c r="W463" s="28">
        <v>64.29</v>
      </c>
      <c r="X463" s="34" t="s">
        <v>54</v>
      </c>
      <c r="Y463" s="33">
        <v>32.15</v>
      </c>
      <c r="AC463" s="28">
        <v>64.29</v>
      </c>
      <c r="AD463" s="34" t="s">
        <v>54</v>
      </c>
      <c r="AE463" s="33">
        <v>32.15</v>
      </c>
      <c r="AN463" s="7" t="s">
        <v>54</v>
      </c>
      <c r="AO463" s="7" t="s">
        <v>55</v>
      </c>
      <c r="AP463" s="7" t="s">
        <v>56</v>
      </c>
      <c r="AT463" s="47" t="s">
        <v>57</v>
      </c>
      <c r="AU463" s="47" t="s">
        <v>57</v>
      </c>
    </row>
    <row r="464" spans="1:47">
      <c r="A464" s="4" t="s">
        <v>48</v>
      </c>
      <c r="C464" s="21"/>
      <c r="D464" s="22" t="s">
        <v>49</v>
      </c>
      <c r="G464" s="23">
        <v>45091</v>
      </c>
      <c r="H464" s="24" t="s">
        <v>1429</v>
      </c>
      <c r="J464" s="28" t="s">
        <v>51</v>
      </c>
      <c r="L464" s="24" t="s">
        <v>1430</v>
      </c>
      <c r="M464" s="1" t="str">
        <f>"341202198707210028"</f>
        <v>341202198707210028</v>
      </c>
      <c r="N464" s="24" t="s">
        <v>1430</v>
      </c>
      <c r="O464" s="1" t="str">
        <f>"341202198707210028"</f>
        <v>341202198707210028</v>
      </c>
      <c r="P464" s="23" t="s">
        <v>1431</v>
      </c>
      <c r="Q464" s="23">
        <v>45245</v>
      </c>
      <c r="R464" s="32">
        <v>45611</v>
      </c>
      <c r="V464" s="33">
        <v>100</v>
      </c>
      <c r="W464" s="28">
        <v>64.29</v>
      </c>
      <c r="X464" s="34" t="s">
        <v>54</v>
      </c>
      <c r="Y464" s="33">
        <v>64.29</v>
      </c>
      <c r="AC464" s="28">
        <v>64.29</v>
      </c>
      <c r="AD464" s="34" t="s">
        <v>54</v>
      </c>
      <c r="AE464" s="33">
        <v>64.29</v>
      </c>
      <c r="AN464" s="7" t="s">
        <v>54</v>
      </c>
      <c r="AO464" s="7" t="s">
        <v>55</v>
      </c>
      <c r="AP464" s="7" t="s">
        <v>56</v>
      </c>
      <c r="AT464" s="47" t="s">
        <v>57</v>
      </c>
      <c r="AU464" s="47" t="s">
        <v>57</v>
      </c>
    </row>
    <row r="465" spans="1:47">
      <c r="A465" s="4" t="s">
        <v>48</v>
      </c>
      <c r="C465" s="21"/>
      <c r="D465" s="22" t="s">
        <v>49</v>
      </c>
      <c r="G465" s="23">
        <v>45091</v>
      </c>
      <c r="H465" s="24" t="s">
        <v>1432</v>
      </c>
      <c r="J465" s="28" t="s">
        <v>51</v>
      </c>
      <c r="L465" s="24" t="s">
        <v>1433</v>
      </c>
      <c r="M465" s="1" t="str">
        <f>"131082198212100355"</f>
        <v>131082198212100355</v>
      </c>
      <c r="N465" s="24" t="s">
        <v>1433</v>
      </c>
      <c r="O465" s="1" t="str">
        <f>"131082198212100355"</f>
        <v>131082198212100355</v>
      </c>
      <c r="P465" s="23" t="s">
        <v>1434</v>
      </c>
      <c r="Q465" s="23">
        <v>45214</v>
      </c>
      <c r="R465" s="32">
        <v>45580</v>
      </c>
      <c r="V465" s="33">
        <v>100</v>
      </c>
      <c r="W465" s="28">
        <v>64.29</v>
      </c>
      <c r="X465" s="34" t="s">
        <v>54</v>
      </c>
      <c r="Y465" s="33">
        <v>64.29</v>
      </c>
      <c r="AC465" s="28">
        <v>64.29</v>
      </c>
      <c r="AD465" s="34" t="s">
        <v>54</v>
      </c>
      <c r="AE465" s="33">
        <v>64.29</v>
      </c>
      <c r="AN465" s="7" t="s">
        <v>54</v>
      </c>
      <c r="AO465" s="7" t="s">
        <v>55</v>
      </c>
      <c r="AP465" s="7" t="s">
        <v>56</v>
      </c>
      <c r="AT465" s="47" t="s">
        <v>57</v>
      </c>
      <c r="AU465" s="47" t="s">
        <v>57</v>
      </c>
    </row>
    <row r="466" spans="1:47">
      <c r="A466" s="4" t="s">
        <v>48</v>
      </c>
      <c r="C466" s="21"/>
      <c r="D466" s="22" t="s">
        <v>49</v>
      </c>
      <c r="G466" s="23">
        <v>45091</v>
      </c>
      <c r="H466" s="24" t="s">
        <v>1435</v>
      </c>
      <c r="J466" s="28" t="s">
        <v>51</v>
      </c>
      <c r="L466" s="24" t="s">
        <v>1436</v>
      </c>
      <c r="M466" s="1" t="str">
        <f>"132525198008100420"</f>
        <v>132525198008100420</v>
      </c>
      <c r="N466" s="24" t="s">
        <v>1436</v>
      </c>
      <c r="O466" s="1" t="str">
        <f>"132525198008100420"</f>
        <v>132525198008100420</v>
      </c>
      <c r="P466" s="23" t="s">
        <v>1437</v>
      </c>
      <c r="Q466" s="23">
        <v>45092</v>
      </c>
      <c r="R466" s="32">
        <v>45458</v>
      </c>
      <c r="V466" s="33">
        <v>100</v>
      </c>
      <c r="W466" s="28">
        <v>64.29</v>
      </c>
      <c r="X466" s="34" t="s">
        <v>54</v>
      </c>
      <c r="Y466" s="33">
        <v>64.29</v>
      </c>
      <c r="AC466" s="28">
        <v>64.29</v>
      </c>
      <c r="AD466" s="34" t="s">
        <v>54</v>
      </c>
      <c r="AE466" s="33">
        <v>64.29</v>
      </c>
      <c r="AN466" s="7" t="s">
        <v>54</v>
      </c>
      <c r="AO466" s="7" t="s">
        <v>55</v>
      </c>
      <c r="AP466" s="7" t="s">
        <v>56</v>
      </c>
      <c r="AT466" s="47" t="s">
        <v>57</v>
      </c>
      <c r="AU466" s="47" t="s">
        <v>57</v>
      </c>
    </row>
    <row r="467" spans="1:47">
      <c r="A467" s="4" t="s">
        <v>48</v>
      </c>
      <c r="C467" s="21"/>
      <c r="D467" s="22" t="s">
        <v>49</v>
      </c>
      <c r="G467" s="23">
        <v>45092</v>
      </c>
      <c r="H467" s="24" t="s">
        <v>1438</v>
      </c>
      <c r="J467" s="28" t="s">
        <v>51</v>
      </c>
      <c r="L467" s="24" t="s">
        <v>1439</v>
      </c>
      <c r="M467" s="1" t="str">
        <f>"342127196903084827"</f>
        <v>342127196903084827</v>
      </c>
      <c r="N467" s="24" t="s">
        <v>1439</v>
      </c>
      <c r="O467" s="1" t="str">
        <f>"342127196903084827"</f>
        <v>342127196903084827</v>
      </c>
      <c r="P467" s="23" t="s">
        <v>1440</v>
      </c>
      <c r="Q467" s="23">
        <v>45093</v>
      </c>
      <c r="R467" s="32">
        <v>45459</v>
      </c>
      <c r="V467" s="33">
        <v>100</v>
      </c>
      <c r="W467" s="28">
        <v>64.29</v>
      </c>
      <c r="X467" s="34" t="s">
        <v>54</v>
      </c>
      <c r="Y467" s="33">
        <v>64.29</v>
      </c>
      <c r="AC467" s="28">
        <v>64.29</v>
      </c>
      <c r="AD467" s="34" t="s">
        <v>54</v>
      </c>
      <c r="AE467" s="33">
        <v>64.29</v>
      </c>
      <c r="AN467" s="7" t="s">
        <v>54</v>
      </c>
      <c r="AO467" s="7" t="s">
        <v>55</v>
      </c>
      <c r="AP467" s="7" t="s">
        <v>56</v>
      </c>
      <c r="AT467" s="47" t="s">
        <v>57</v>
      </c>
      <c r="AU467" s="47" t="s">
        <v>57</v>
      </c>
    </row>
    <row r="468" spans="1:47">
      <c r="A468" s="4" t="s">
        <v>48</v>
      </c>
      <c r="C468" s="21"/>
      <c r="D468" s="22" t="s">
        <v>49</v>
      </c>
      <c r="G468" s="23">
        <v>45079</v>
      </c>
      <c r="H468" s="24" t="s">
        <v>1441</v>
      </c>
      <c r="J468" s="28" t="s">
        <v>51</v>
      </c>
      <c r="L468" s="24" t="s">
        <v>1442</v>
      </c>
      <c r="M468" s="1" t="str">
        <f>"110108197201296025"</f>
        <v>110108197201296025</v>
      </c>
      <c r="N468" s="24" t="s">
        <v>1442</v>
      </c>
      <c r="O468" s="1" t="str">
        <f>"110108197201296025"</f>
        <v>110108197201296025</v>
      </c>
      <c r="P468" s="23" t="s">
        <v>1443</v>
      </c>
      <c r="Q468" s="23">
        <v>45080</v>
      </c>
      <c r="R468" s="32">
        <v>45446</v>
      </c>
      <c r="V468" s="33">
        <v>100</v>
      </c>
      <c r="W468" s="28">
        <v>64.29</v>
      </c>
      <c r="X468" s="34" t="s">
        <v>54</v>
      </c>
      <c r="Y468" s="33">
        <v>64.29</v>
      </c>
      <c r="AC468" s="28">
        <v>64.29</v>
      </c>
      <c r="AD468" s="34" t="s">
        <v>54</v>
      </c>
      <c r="AE468" s="33">
        <v>64.29</v>
      </c>
      <c r="AN468" s="7" t="s">
        <v>54</v>
      </c>
      <c r="AO468" s="7" t="s">
        <v>55</v>
      </c>
      <c r="AP468" s="7" t="s">
        <v>56</v>
      </c>
      <c r="AT468" s="47" t="s">
        <v>57</v>
      </c>
      <c r="AU468" s="47" t="s">
        <v>57</v>
      </c>
    </row>
    <row r="469" spans="1:47">
      <c r="A469" s="4" t="s">
        <v>48</v>
      </c>
      <c r="C469" s="21"/>
      <c r="D469" s="22" t="s">
        <v>49</v>
      </c>
      <c r="G469" s="23">
        <v>45081</v>
      </c>
      <c r="H469" s="24" t="s">
        <v>1444</v>
      </c>
      <c r="J469" s="28" t="s">
        <v>51</v>
      </c>
      <c r="L469" s="24" t="s">
        <v>1445</v>
      </c>
      <c r="M469" s="1" t="str">
        <f>"372923198110193225"</f>
        <v>372923198110193225</v>
      </c>
      <c r="N469" s="24" t="s">
        <v>1445</v>
      </c>
      <c r="O469" s="1" t="str">
        <f>"372923198110193225"</f>
        <v>372923198110193225</v>
      </c>
      <c r="P469" s="23" t="s">
        <v>1446</v>
      </c>
      <c r="Q469" s="23">
        <v>45082</v>
      </c>
      <c r="R469" s="32">
        <v>45448</v>
      </c>
      <c r="V469" s="33">
        <v>100</v>
      </c>
      <c r="W469" s="28">
        <v>64.29</v>
      </c>
      <c r="X469" s="34" t="s">
        <v>54</v>
      </c>
      <c r="Y469" s="33">
        <v>64.29</v>
      </c>
      <c r="AC469" s="28">
        <v>64.29</v>
      </c>
      <c r="AD469" s="34" t="s">
        <v>54</v>
      </c>
      <c r="AE469" s="33">
        <v>64.29</v>
      </c>
      <c r="AN469" s="7" t="s">
        <v>54</v>
      </c>
      <c r="AO469" s="7" t="s">
        <v>55</v>
      </c>
      <c r="AP469" s="7" t="s">
        <v>56</v>
      </c>
      <c r="AT469" s="47" t="s">
        <v>57</v>
      </c>
      <c r="AU469" s="47" t="s">
        <v>57</v>
      </c>
    </row>
    <row r="470" spans="1:47">
      <c r="A470" s="4" t="s">
        <v>48</v>
      </c>
      <c r="C470" s="21"/>
      <c r="D470" s="22" t="s">
        <v>49</v>
      </c>
      <c r="G470" s="23">
        <v>45079</v>
      </c>
      <c r="H470" s="24" t="s">
        <v>1447</v>
      </c>
      <c r="J470" s="28" t="s">
        <v>51</v>
      </c>
      <c r="L470" s="24" t="s">
        <v>1448</v>
      </c>
      <c r="M470" s="1" t="str">
        <f>"131082198910140434"</f>
        <v>131082198910140434</v>
      </c>
      <c r="N470" s="24" t="s">
        <v>1448</v>
      </c>
      <c r="O470" s="1" t="str">
        <f>"131082198910140434"</f>
        <v>131082198910140434</v>
      </c>
      <c r="P470" s="23" t="s">
        <v>1449</v>
      </c>
      <c r="Q470" s="23">
        <v>45080</v>
      </c>
      <c r="R470" s="32">
        <v>45446</v>
      </c>
      <c r="V470" s="33">
        <v>100</v>
      </c>
      <c r="W470" s="28">
        <v>64.29</v>
      </c>
      <c r="X470" s="34" t="s">
        <v>54</v>
      </c>
      <c r="Y470" s="33">
        <v>64.29</v>
      </c>
      <c r="AC470" s="28">
        <v>64.29</v>
      </c>
      <c r="AD470" s="34" t="s">
        <v>54</v>
      </c>
      <c r="AE470" s="33">
        <v>64.29</v>
      </c>
      <c r="AN470" s="7" t="s">
        <v>54</v>
      </c>
      <c r="AO470" s="7" t="s">
        <v>55</v>
      </c>
      <c r="AP470" s="7" t="s">
        <v>56</v>
      </c>
      <c r="AT470" s="47" t="s">
        <v>57</v>
      </c>
      <c r="AU470" s="47" t="s">
        <v>57</v>
      </c>
    </row>
    <row r="471" spans="1:47">
      <c r="A471" s="4" t="s">
        <v>48</v>
      </c>
      <c r="C471" s="21"/>
      <c r="D471" s="22" t="s">
        <v>49</v>
      </c>
      <c r="G471" s="23">
        <v>45080</v>
      </c>
      <c r="H471" s="24" t="s">
        <v>1450</v>
      </c>
      <c r="J471" s="28" t="s">
        <v>51</v>
      </c>
      <c r="L471" s="24" t="s">
        <v>1451</v>
      </c>
      <c r="M471" s="1" t="str">
        <f>"130684199311014777"</f>
        <v>130684199311014777</v>
      </c>
      <c r="N471" s="24" t="s">
        <v>1451</v>
      </c>
      <c r="O471" s="1" t="str">
        <f>"130684199311014777"</f>
        <v>130684199311014777</v>
      </c>
      <c r="P471" s="23" t="s">
        <v>1452</v>
      </c>
      <c r="Q471" s="23">
        <v>45081</v>
      </c>
      <c r="R471" s="32">
        <v>45447</v>
      </c>
      <c r="V471" s="33">
        <v>100</v>
      </c>
      <c r="W471" s="28">
        <v>64.29</v>
      </c>
      <c r="X471" s="34" t="s">
        <v>54</v>
      </c>
      <c r="Y471" s="33">
        <v>64.29</v>
      </c>
      <c r="AC471" s="28">
        <v>64.29</v>
      </c>
      <c r="AD471" s="34" t="s">
        <v>54</v>
      </c>
      <c r="AE471" s="33">
        <v>64.29</v>
      </c>
      <c r="AN471" s="7" t="s">
        <v>54</v>
      </c>
      <c r="AO471" s="7" t="s">
        <v>55</v>
      </c>
      <c r="AP471" s="7" t="s">
        <v>56</v>
      </c>
      <c r="AT471" s="47" t="s">
        <v>57</v>
      </c>
      <c r="AU471" s="47" t="s">
        <v>57</v>
      </c>
    </row>
    <row r="472" spans="1:47">
      <c r="A472" s="4" t="s">
        <v>48</v>
      </c>
      <c r="C472" s="21"/>
      <c r="D472" s="22" t="s">
        <v>49</v>
      </c>
      <c r="G472" s="23">
        <v>45090</v>
      </c>
      <c r="H472" s="24" t="s">
        <v>1453</v>
      </c>
      <c r="J472" s="28" t="s">
        <v>51</v>
      </c>
      <c r="L472" s="24" t="s">
        <v>1454</v>
      </c>
      <c r="M472" s="1" t="str">
        <f>"131082198709095862"</f>
        <v>131082198709095862</v>
      </c>
      <c r="N472" s="24" t="s">
        <v>1454</v>
      </c>
      <c r="O472" s="1" t="str">
        <f>"131082198709095862"</f>
        <v>131082198709095862</v>
      </c>
      <c r="P472" s="23" t="s">
        <v>1455</v>
      </c>
      <c r="Q472" s="23">
        <v>45091</v>
      </c>
      <c r="R472" s="32">
        <v>45457</v>
      </c>
      <c r="V472" s="33">
        <v>200</v>
      </c>
      <c r="W472" s="28">
        <v>64.29</v>
      </c>
      <c r="X472" s="34" t="s">
        <v>54</v>
      </c>
      <c r="Y472" s="33">
        <v>128.58</v>
      </c>
      <c r="AC472" s="28">
        <v>64.29</v>
      </c>
      <c r="AD472" s="34" t="s">
        <v>54</v>
      </c>
      <c r="AE472" s="33">
        <v>128.58</v>
      </c>
      <c r="AN472" s="7" t="s">
        <v>54</v>
      </c>
      <c r="AO472" s="7" t="s">
        <v>55</v>
      </c>
      <c r="AP472" s="7" t="s">
        <v>56</v>
      </c>
      <c r="AT472" s="47" t="s">
        <v>57</v>
      </c>
      <c r="AU472" s="47" t="s">
        <v>57</v>
      </c>
    </row>
    <row r="473" spans="1:47">
      <c r="A473" s="4" t="s">
        <v>48</v>
      </c>
      <c r="C473" s="21"/>
      <c r="D473" s="22" t="s">
        <v>49</v>
      </c>
      <c r="G473" s="23">
        <v>45090</v>
      </c>
      <c r="H473" s="24" t="s">
        <v>1456</v>
      </c>
      <c r="J473" s="28" t="s">
        <v>51</v>
      </c>
      <c r="L473" s="24" t="s">
        <v>1457</v>
      </c>
      <c r="M473" s="1" t="str">
        <f>"130684199004034794"</f>
        <v>130684199004034794</v>
      </c>
      <c r="N473" s="24" t="s">
        <v>1457</v>
      </c>
      <c r="O473" s="1" t="str">
        <f>"130684199004034794"</f>
        <v>130684199004034794</v>
      </c>
      <c r="P473" s="23" t="s">
        <v>1458</v>
      </c>
      <c r="Q473" s="23">
        <v>45107</v>
      </c>
      <c r="R473" s="32">
        <v>45473</v>
      </c>
      <c r="V473" s="33">
        <v>200</v>
      </c>
      <c r="W473" s="28">
        <v>64.29</v>
      </c>
      <c r="X473" s="34" t="s">
        <v>54</v>
      </c>
      <c r="Y473" s="33">
        <v>128.58</v>
      </c>
      <c r="AC473" s="28">
        <v>64.29</v>
      </c>
      <c r="AD473" s="34" t="s">
        <v>54</v>
      </c>
      <c r="AE473" s="33">
        <v>128.58</v>
      </c>
      <c r="AN473" s="7" t="s">
        <v>54</v>
      </c>
      <c r="AO473" s="7" t="s">
        <v>55</v>
      </c>
      <c r="AP473" s="7" t="s">
        <v>56</v>
      </c>
      <c r="AT473" s="47" t="s">
        <v>57</v>
      </c>
      <c r="AU473" s="47" t="s">
        <v>57</v>
      </c>
    </row>
    <row r="474" spans="1:47">
      <c r="A474" s="4" t="s">
        <v>48</v>
      </c>
      <c r="C474" s="21"/>
      <c r="D474" s="22" t="s">
        <v>49</v>
      </c>
      <c r="G474" s="23">
        <v>45087</v>
      </c>
      <c r="H474" s="24" t="s">
        <v>1459</v>
      </c>
      <c r="J474" s="28" t="s">
        <v>51</v>
      </c>
      <c r="L474" s="24" t="s">
        <v>1460</v>
      </c>
      <c r="M474" s="1" t="str">
        <f>"130684199101204548"</f>
        <v>130684199101204548</v>
      </c>
      <c r="N474" s="24" t="s">
        <v>1460</v>
      </c>
      <c r="O474" s="1" t="str">
        <f>"130684199101204548"</f>
        <v>130684199101204548</v>
      </c>
      <c r="P474" s="23" t="s">
        <v>1461</v>
      </c>
      <c r="Q474" s="23">
        <v>45088</v>
      </c>
      <c r="R474" s="32">
        <v>45454</v>
      </c>
      <c r="V474" s="33">
        <v>200</v>
      </c>
      <c r="W474" s="28">
        <v>64.29</v>
      </c>
      <c r="X474" s="34" t="s">
        <v>54</v>
      </c>
      <c r="Y474" s="33">
        <v>128.58</v>
      </c>
      <c r="AC474" s="28">
        <v>64.29</v>
      </c>
      <c r="AD474" s="34" t="s">
        <v>54</v>
      </c>
      <c r="AE474" s="33">
        <v>128.58</v>
      </c>
      <c r="AN474" s="7" t="s">
        <v>54</v>
      </c>
      <c r="AO474" s="7" t="s">
        <v>55</v>
      </c>
      <c r="AP474" s="7" t="s">
        <v>56</v>
      </c>
      <c r="AT474" s="47" t="s">
        <v>57</v>
      </c>
      <c r="AU474" s="47" t="s">
        <v>57</v>
      </c>
    </row>
    <row r="475" spans="1:47">
      <c r="A475" s="4" t="s">
        <v>48</v>
      </c>
      <c r="C475" s="21"/>
      <c r="D475" s="22" t="s">
        <v>49</v>
      </c>
      <c r="G475" s="23">
        <v>45085</v>
      </c>
      <c r="H475" s="24" t="s">
        <v>1462</v>
      </c>
      <c r="J475" s="28" t="s">
        <v>51</v>
      </c>
      <c r="L475" s="24" t="s">
        <v>1463</v>
      </c>
      <c r="M475" s="1" t="str">
        <f>"341202198902163589"</f>
        <v>341202198902163589</v>
      </c>
      <c r="N475" s="24" t="s">
        <v>1463</v>
      </c>
      <c r="O475" s="1" t="str">
        <f>"341202198902163589"</f>
        <v>341202198902163589</v>
      </c>
      <c r="P475" s="23" t="s">
        <v>1464</v>
      </c>
      <c r="Q475" s="23">
        <v>45086</v>
      </c>
      <c r="R475" s="32">
        <v>45452</v>
      </c>
      <c r="V475" s="33">
        <v>200</v>
      </c>
      <c r="W475" s="28">
        <v>64.29</v>
      </c>
      <c r="X475" s="34" t="s">
        <v>54</v>
      </c>
      <c r="Y475" s="33">
        <v>128.58</v>
      </c>
      <c r="AC475" s="28">
        <v>64.29</v>
      </c>
      <c r="AD475" s="34" t="s">
        <v>54</v>
      </c>
      <c r="AE475" s="33">
        <v>128.58</v>
      </c>
      <c r="AN475" s="7" t="s">
        <v>54</v>
      </c>
      <c r="AO475" s="7" t="s">
        <v>55</v>
      </c>
      <c r="AP475" s="7" t="s">
        <v>56</v>
      </c>
      <c r="AT475" s="47" t="s">
        <v>57</v>
      </c>
      <c r="AU475" s="47" t="s">
        <v>57</v>
      </c>
    </row>
    <row r="476" spans="1:47">
      <c r="A476" s="4" t="s">
        <v>48</v>
      </c>
      <c r="C476" s="21"/>
      <c r="D476" s="22" t="s">
        <v>49</v>
      </c>
      <c r="G476" s="23">
        <v>45087</v>
      </c>
      <c r="H476" s="24" t="s">
        <v>1465</v>
      </c>
      <c r="J476" s="28" t="s">
        <v>51</v>
      </c>
      <c r="L476" s="24" t="s">
        <v>1466</v>
      </c>
      <c r="M476" s="1" t="str">
        <f>"341225199003060331"</f>
        <v>341225199003060331</v>
      </c>
      <c r="N476" s="24" t="s">
        <v>1466</v>
      </c>
      <c r="O476" s="1" t="str">
        <f>"341225199003060331"</f>
        <v>341225199003060331</v>
      </c>
      <c r="P476" s="23" t="s">
        <v>1467</v>
      </c>
      <c r="Q476" s="23">
        <v>45088</v>
      </c>
      <c r="R476" s="32">
        <v>45454</v>
      </c>
      <c r="V476" s="33">
        <v>200</v>
      </c>
      <c r="W476" s="28">
        <v>64.29</v>
      </c>
      <c r="X476" s="34" t="s">
        <v>54</v>
      </c>
      <c r="Y476" s="33">
        <v>128.58</v>
      </c>
      <c r="AC476" s="28">
        <v>64.29</v>
      </c>
      <c r="AD476" s="34" t="s">
        <v>54</v>
      </c>
      <c r="AE476" s="33">
        <v>128.58</v>
      </c>
      <c r="AN476" s="7" t="s">
        <v>54</v>
      </c>
      <c r="AO476" s="7" t="s">
        <v>55</v>
      </c>
      <c r="AP476" s="7" t="s">
        <v>56</v>
      </c>
      <c r="AT476" s="47" t="s">
        <v>57</v>
      </c>
      <c r="AU476" s="47" t="s">
        <v>57</v>
      </c>
    </row>
    <row r="477" spans="1:47">
      <c r="A477" s="4" t="s">
        <v>48</v>
      </c>
      <c r="C477" s="21"/>
      <c r="D477" s="22" t="s">
        <v>49</v>
      </c>
      <c r="G477" s="23">
        <v>45072</v>
      </c>
      <c r="H477" s="24" t="s">
        <v>1468</v>
      </c>
      <c r="J477" s="28" t="s">
        <v>51</v>
      </c>
      <c r="L477" s="24" t="s">
        <v>1469</v>
      </c>
      <c r="M477" s="1" t="str">
        <f>"320404199010093427"</f>
        <v>320404199010093427</v>
      </c>
      <c r="N477" s="24" t="s">
        <v>1469</v>
      </c>
      <c r="O477" s="1" t="str">
        <f>"320404199010093427"</f>
        <v>320404199010093427</v>
      </c>
      <c r="P477" s="23" t="s">
        <v>1470</v>
      </c>
      <c r="Q477" s="23">
        <v>45073</v>
      </c>
      <c r="R477" s="32">
        <v>45439</v>
      </c>
      <c r="V477" s="33">
        <v>50</v>
      </c>
      <c r="W477" s="28">
        <v>64.29</v>
      </c>
      <c r="X477" s="34" t="s">
        <v>54</v>
      </c>
      <c r="Y477" s="33">
        <v>32.15</v>
      </c>
      <c r="AC477" s="28">
        <v>64.29</v>
      </c>
      <c r="AD477" s="34" t="s">
        <v>54</v>
      </c>
      <c r="AE477" s="33">
        <v>32.15</v>
      </c>
      <c r="AN477" s="7" t="s">
        <v>54</v>
      </c>
      <c r="AO477" s="7" t="s">
        <v>55</v>
      </c>
      <c r="AP477" s="7" t="s">
        <v>56</v>
      </c>
      <c r="AT477" s="47" t="s">
        <v>57</v>
      </c>
      <c r="AU477" s="47" t="s">
        <v>57</v>
      </c>
    </row>
    <row r="478" spans="1:47">
      <c r="A478" s="4" t="s">
        <v>48</v>
      </c>
      <c r="C478" s="21"/>
      <c r="D478" s="22" t="s">
        <v>49</v>
      </c>
      <c r="G478" s="23">
        <v>45102</v>
      </c>
      <c r="H478" s="24" t="s">
        <v>1471</v>
      </c>
      <c r="J478" s="28" t="s">
        <v>51</v>
      </c>
      <c r="L478" s="24" t="s">
        <v>1472</v>
      </c>
      <c r="M478" s="1" t="str">
        <f>"342101195807180810"</f>
        <v>342101195807180810</v>
      </c>
      <c r="N478" s="24" t="s">
        <v>1472</v>
      </c>
      <c r="O478" s="1" t="str">
        <f>"342101195807180810"</f>
        <v>342101195807180810</v>
      </c>
      <c r="P478" s="23" t="s">
        <v>1473</v>
      </c>
      <c r="Q478" s="23">
        <v>45103</v>
      </c>
      <c r="R478" s="32">
        <v>45469</v>
      </c>
      <c r="V478" s="33">
        <v>100</v>
      </c>
      <c r="W478" s="28">
        <v>64.29</v>
      </c>
      <c r="X478" s="34" t="s">
        <v>54</v>
      </c>
      <c r="Y478" s="33">
        <v>64.29</v>
      </c>
      <c r="AC478" s="28">
        <v>64.29</v>
      </c>
      <c r="AD478" s="34" t="s">
        <v>54</v>
      </c>
      <c r="AE478" s="33">
        <v>64.29</v>
      </c>
      <c r="AN478" s="7" t="s">
        <v>54</v>
      </c>
      <c r="AO478" s="7" t="s">
        <v>55</v>
      </c>
      <c r="AP478" s="7" t="s">
        <v>56</v>
      </c>
      <c r="AT478" s="47" t="s">
        <v>57</v>
      </c>
      <c r="AU478" s="47" t="s">
        <v>57</v>
      </c>
    </row>
    <row r="479" spans="1:47">
      <c r="A479" s="4" t="s">
        <v>48</v>
      </c>
      <c r="C479" s="21"/>
      <c r="D479" s="22" t="s">
        <v>49</v>
      </c>
      <c r="G479" s="23">
        <v>45102</v>
      </c>
      <c r="H479" s="24" t="s">
        <v>1474</v>
      </c>
      <c r="J479" s="28" t="s">
        <v>51</v>
      </c>
      <c r="L479" s="24" t="s">
        <v>1475</v>
      </c>
      <c r="M479" s="1" t="str">
        <f>"341204197007161024"</f>
        <v>341204197007161024</v>
      </c>
      <c r="N479" s="24" t="s">
        <v>1475</v>
      </c>
      <c r="O479" s="1" t="str">
        <f>"341204197007161024"</f>
        <v>341204197007161024</v>
      </c>
      <c r="P479" s="23" t="s">
        <v>1476</v>
      </c>
      <c r="Q479" s="23">
        <v>45103</v>
      </c>
      <c r="R479" s="32">
        <v>45469</v>
      </c>
      <c r="V479" s="33">
        <v>100</v>
      </c>
      <c r="W479" s="28">
        <v>64.29</v>
      </c>
      <c r="X479" s="34" t="s">
        <v>54</v>
      </c>
      <c r="Y479" s="33">
        <v>64.29</v>
      </c>
      <c r="AC479" s="28">
        <v>64.29</v>
      </c>
      <c r="AD479" s="34" t="s">
        <v>54</v>
      </c>
      <c r="AE479" s="33">
        <v>64.29</v>
      </c>
      <c r="AN479" s="7" t="s">
        <v>54</v>
      </c>
      <c r="AO479" s="7" t="s">
        <v>55</v>
      </c>
      <c r="AP479" s="7" t="s">
        <v>56</v>
      </c>
      <c r="AT479" s="47" t="s">
        <v>57</v>
      </c>
      <c r="AU479" s="47" t="s">
        <v>57</v>
      </c>
    </row>
    <row r="480" spans="1:47">
      <c r="A480" s="4" t="s">
        <v>48</v>
      </c>
      <c r="C480" s="21"/>
      <c r="D480" s="22" t="s">
        <v>49</v>
      </c>
      <c r="G480" s="23">
        <v>45102</v>
      </c>
      <c r="H480" s="24" t="s">
        <v>1477</v>
      </c>
      <c r="J480" s="28" t="s">
        <v>51</v>
      </c>
      <c r="L480" s="24" t="s">
        <v>1478</v>
      </c>
      <c r="M480" s="1" t="str">
        <f>"612127197710025476"</f>
        <v>612127197710025476</v>
      </c>
      <c r="N480" s="24" t="s">
        <v>1478</v>
      </c>
      <c r="O480" s="1" t="str">
        <f>"612127197710025476"</f>
        <v>612127197710025476</v>
      </c>
      <c r="P480" s="23" t="s">
        <v>1479</v>
      </c>
      <c r="Q480" s="23">
        <v>45103</v>
      </c>
      <c r="R480" s="32">
        <v>45469</v>
      </c>
      <c r="V480" s="33">
        <v>100</v>
      </c>
      <c r="W480" s="28">
        <v>64.29</v>
      </c>
      <c r="X480" s="34" t="s">
        <v>54</v>
      </c>
      <c r="Y480" s="33">
        <v>64.29</v>
      </c>
      <c r="AC480" s="28">
        <v>64.29</v>
      </c>
      <c r="AD480" s="34" t="s">
        <v>54</v>
      </c>
      <c r="AE480" s="33">
        <v>64.29</v>
      </c>
      <c r="AN480" s="7" t="s">
        <v>54</v>
      </c>
      <c r="AO480" s="7" t="s">
        <v>55</v>
      </c>
      <c r="AP480" s="7" t="s">
        <v>56</v>
      </c>
      <c r="AT480" s="47" t="s">
        <v>57</v>
      </c>
      <c r="AU480" s="47" t="s">
        <v>57</v>
      </c>
    </row>
    <row r="481" spans="1:47">
      <c r="A481" s="4" t="s">
        <v>48</v>
      </c>
      <c r="C481" s="21"/>
      <c r="D481" s="22" t="s">
        <v>49</v>
      </c>
      <c r="G481" s="23">
        <v>45092</v>
      </c>
      <c r="H481" s="24" t="s">
        <v>1480</v>
      </c>
      <c r="J481" s="28" t="s">
        <v>51</v>
      </c>
      <c r="L481" s="24" t="s">
        <v>1481</v>
      </c>
      <c r="M481" s="1" t="str">
        <f>"211224196009245610"</f>
        <v>211224196009245610</v>
      </c>
      <c r="N481" s="24" t="s">
        <v>1481</v>
      </c>
      <c r="O481" s="1" t="str">
        <f>"211224196009245610"</f>
        <v>211224196009245610</v>
      </c>
      <c r="P481" s="23" t="s">
        <v>1482</v>
      </c>
      <c r="Q481" s="23">
        <v>45107</v>
      </c>
      <c r="R481" s="32">
        <v>45473</v>
      </c>
      <c r="V481" s="33">
        <v>100</v>
      </c>
      <c r="W481" s="28">
        <v>64.29</v>
      </c>
      <c r="X481" s="34" t="s">
        <v>54</v>
      </c>
      <c r="Y481" s="33">
        <v>64.29</v>
      </c>
      <c r="AC481" s="28">
        <v>64.29</v>
      </c>
      <c r="AD481" s="34" t="s">
        <v>54</v>
      </c>
      <c r="AE481" s="33">
        <v>64.29</v>
      </c>
      <c r="AN481" s="7" t="s">
        <v>54</v>
      </c>
      <c r="AO481" s="7" t="s">
        <v>55</v>
      </c>
      <c r="AP481" s="7" t="s">
        <v>56</v>
      </c>
      <c r="AT481" s="47" t="s">
        <v>57</v>
      </c>
      <c r="AU481" s="47" t="s">
        <v>57</v>
      </c>
    </row>
    <row r="482" spans="1:47">
      <c r="A482" s="4" t="s">
        <v>48</v>
      </c>
      <c r="C482" s="21"/>
      <c r="D482" s="22" t="s">
        <v>49</v>
      </c>
      <c r="G482" s="23">
        <v>45087</v>
      </c>
      <c r="H482" s="24" t="s">
        <v>1483</v>
      </c>
      <c r="J482" s="28" t="s">
        <v>51</v>
      </c>
      <c r="L482" s="24" t="s">
        <v>1484</v>
      </c>
      <c r="M482" s="1" t="str">
        <f>"342101196810110818"</f>
        <v>342101196810110818</v>
      </c>
      <c r="N482" s="24" t="s">
        <v>1484</v>
      </c>
      <c r="O482" s="1" t="str">
        <f>"342101196810110818"</f>
        <v>342101196810110818</v>
      </c>
      <c r="P482" s="23" t="s">
        <v>1485</v>
      </c>
      <c r="Q482" s="23">
        <v>45088</v>
      </c>
      <c r="R482" s="32">
        <v>45454</v>
      </c>
      <c r="V482" s="33">
        <v>200</v>
      </c>
      <c r="W482" s="28">
        <v>64.29</v>
      </c>
      <c r="X482" s="34" t="s">
        <v>54</v>
      </c>
      <c r="Y482" s="33">
        <v>128.58</v>
      </c>
      <c r="AC482" s="28">
        <v>64.29</v>
      </c>
      <c r="AD482" s="34" t="s">
        <v>54</v>
      </c>
      <c r="AE482" s="33">
        <v>128.58</v>
      </c>
      <c r="AN482" s="7" t="s">
        <v>54</v>
      </c>
      <c r="AO482" s="7" t="s">
        <v>55</v>
      </c>
      <c r="AP482" s="7" t="s">
        <v>56</v>
      </c>
      <c r="AT482" s="47" t="s">
        <v>57</v>
      </c>
      <c r="AU482" s="47" t="s">
        <v>57</v>
      </c>
    </row>
    <row r="483" spans="1:47">
      <c r="A483" s="4" t="s">
        <v>48</v>
      </c>
      <c r="C483" s="21"/>
      <c r="D483" s="22" t="s">
        <v>49</v>
      </c>
      <c r="G483" s="23">
        <v>45102</v>
      </c>
      <c r="H483" s="24" t="s">
        <v>1486</v>
      </c>
      <c r="J483" s="28" t="s">
        <v>51</v>
      </c>
      <c r="L483" s="24" t="s">
        <v>1487</v>
      </c>
      <c r="M483" s="1" t="str">
        <f>"341202198901011911"</f>
        <v>341202198901011911</v>
      </c>
      <c r="N483" s="24" t="s">
        <v>1487</v>
      </c>
      <c r="O483" s="1" t="str">
        <f>"341202198901011911"</f>
        <v>341202198901011911</v>
      </c>
      <c r="P483" s="23" t="s">
        <v>1488</v>
      </c>
      <c r="Q483" s="23">
        <v>45313</v>
      </c>
      <c r="R483" s="32">
        <v>45679</v>
      </c>
      <c r="V483" s="33">
        <v>100</v>
      </c>
      <c r="W483" s="28">
        <v>64.29</v>
      </c>
      <c r="X483" s="34" t="s">
        <v>54</v>
      </c>
      <c r="Y483" s="33">
        <v>64.29</v>
      </c>
      <c r="AC483" s="28">
        <v>64.29</v>
      </c>
      <c r="AD483" s="34" t="s">
        <v>54</v>
      </c>
      <c r="AE483" s="33">
        <v>64.29</v>
      </c>
      <c r="AN483" s="7" t="s">
        <v>54</v>
      </c>
      <c r="AO483" s="7" t="s">
        <v>55</v>
      </c>
      <c r="AP483" s="7" t="s">
        <v>56</v>
      </c>
      <c r="AT483" s="47" t="s">
        <v>57</v>
      </c>
      <c r="AU483" s="47" t="s">
        <v>57</v>
      </c>
    </row>
    <row r="484" spans="1:47">
      <c r="A484" s="4" t="s">
        <v>48</v>
      </c>
      <c r="C484" s="21"/>
      <c r="D484" s="22" t="s">
        <v>49</v>
      </c>
      <c r="G484" s="23">
        <v>45102</v>
      </c>
      <c r="H484" s="24" t="s">
        <v>1489</v>
      </c>
      <c r="J484" s="28" t="s">
        <v>51</v>
      </c>
      <c r="L484" s="24" t="s">
        <v>1490</v>
      </c>
      <c r="M484" s="1" t="str">
        <f>"230702198406040927"</f>
        <v>230702198406040927</v>
      </c>
      <c r="N484" s="24" t="s">
        <v>1490</v>
      </c>
      <c r="O484" s="1" t="str">
        <f>"230702198406040927"</f>
        <v>230702198406040927</v>
      </c>
      <c r="P484" s="23" t="s">
        <v>1491</v>
      </c>
      <c r="Q484" s="23">
        <v>45103</v>
      </c>
      <c r="R484" s="32">
        <v>45469</v>
      </c>
      <c r="V484" s="33">
        <v>100</v>
      </c>
      <c r="W484" s="28">
        <v>64.29</v>
      </c>
      <c r="X484" s="34" t="s">
        <v>54</v>
      </c>
      <c r="Y484" s="33">
        <v>64.29</v>
      </c>
      <c r="AC484" s="28">
        <v>64.29</v>
      </c>
      <c r="AD484" s="34" t="s">
        <v>54</v>
      </c>
      <c r="AE484" s="33">
        <v>64.29</v>
      </c>
      <c r="AN484" s="7" t="s">
        <v>54</v>
      </c>
      <c r="AO484" s="7" t="s">
        <v>55</v>
      </c>
      <c r="AP484" s="7" t="s">
        <v>56</v>
      </c>
      <c r="AT484" s="47" t="s">
        <v>57</v>
      </c>
      <c r="AU484" s="47" t="s">
        <v>57</v>
      </c>
    </row>
    <row r="485" spans="1:47">
      <c r="A485" s="4" t="s">
        <v>48</v>
      </c>
      <c r="C485" s="21"/>
      <c r="D485" s="22" t="s">
        <v>49</v>
      </c>
      <c r="G485" s="23">
        <v>45102</v>
      </c>
      <c r="H485" s="24" t="s">
        <v>1492</v>
      </c>
      <c r="J485" s="28" t="s">
        <v>51</v>
      </c>
      <c r="L485" s="24" t="s">
        <v>1493</v>
      </c>
      <c r="M485" s="1" t="str">
        <f>"131023199106042846"</f>
        <v>131023199106042846</v>
      </c>
      <c r="N485" s="24" t="s">
        <v>1493</v>
      </c>
      <c r="O485" s="1" t="str">
        <f>"131023199106042846"</f>
        <v>131023199106042846</v>
      </c>
      <c r="P485" s="23" t="s">
        <v>1494</v>
      </c>
      <c r="Q485" s="23">
        <v>45103</v>
      </c>
      <c r="R485" s="32">
        <v>45469</v>
      </c>
      <c r="V485" s="33">
        <v>100</v>
      </c>
      <c r="W485" s="28">
        <v>64.29</v>
      </c>
      <c r="X485" s="34" t="s">
        <v>54</v>
      </c>
      <c r="Y485" s="33">
        <v>64.29</v>
      </c>
      <c r="AC485" s="28">
        <v>64.29</v>
      </c>
      <c r="AD485" s="34" t="s">
        <v>54</v>
      </c>
      <c r="AE485" s="33">
        <v>64.29</v>
      </c>
      <c r="AN485" s="7" t="s">
        <v>54</v>
      </c>
      <c r="AO485" s="7" t="s">
        <v>55</v>
      </c>
      <c r="AP485" s="7" t="s">
        <v>56</v>
      </c>
      <c r="AT485" s="47" t="s">
        <v>57</v>
      </c>
      <c r="AU485" s="47" t="s">
        <v>57</v>
      </c>
    </row>
    <row r="486" spans="1:47">
      <c r="A486" s="4" t="s">
        <v>48</v>
      </c>
      <c r="C486" s="21"/>
      <c r="D486" s="22" t="s">
        <v>49</v>
      </c>
      <c r="G486" s="23">
        <v>45102</v>
      </c>
      <c r="H486" s="24" t="s">
        <v>1495</v>
      </c>
      <c r="J486" s="28" t="s">
        <v>51</v>
      </c>
      <c r="L486" s="24" t="s">
        <v>1496</v>
      </c>
      <c r="M486" s="1" t="str">
        <f>"131082199907221529"</f>
        <v>131082199907221529</v>
      </c>
      <c r="N486" s="24" t="s">
        <v>1496</v>
      </c>
      <c r="O486" s="1" t="str">
        <f>"131082199907221529"</f>
        <v>131082199907221529</v>
      </c>
      <c r="P486" s="23" t="s">
        <v>1497</v>
      </c>
      <c r="Q486" s="23">
        <v>45103</v>
      </c>
      <c r="R486" s="32">
        <v>45469</v>
      </c>
      <c r="V486" s="33">
        <v>100</v>
      </c>
      <c r="W486" s="28">
        <v>64.29</v>
      </c>
      <c r="X486" s="34" t="s">
        <v>54</v>
      </c>
      <c r="Y486" s="33">
        <v>64.29</v>
      </c>
      <c r="AC486" s="28">
        <v>64.29</v>
      </c>
      <c r="AD486" s="34" t="s">
        <v>54</v>
      </c>
      <c r="AE486" s="33">
        <v>64.29</v>
      </c>
      <c r="AN486" s="7" t="s">
        <v>54</v>
      </c>
      <c r="AO486" s="7" t="s">
        <v>55</v>
      </c>
      <c r="AP486" s="7" t="s">
        <v>56</v>
      </c>
      <c r="AT486" s="47" t="s">
        <v>57</v>
      </c>
      <c r="AU486" s="47" t="s">
        <v>57</v>
      </c>
    </row>
    <row r="487" spans="1:47">
      <c r="A487" s="4" t="s">
        <v>48</v>
      </c>
      <c r="C487" s="21"/>
      <c r="D487" s="22" t="s">
        <v>49</v>
      </c>
      <c r="G487" s="23">
        <v>45092</v>
      </c>
      <c r="H487" s="24" t="s">
        <v>1498</v>
      </c>
      <c r="J487" s="28" t="s">
        <v>51</v>
      </c>
      <c r="L487" s="24" t="s">
        <v>1499</v>
      </c>
      <c r="M487" s="1" t="str">
        <f>"341221197812030218"</f>
        <v>341221197812030218</v>
      </c>
      <c r="N487" s="24" t="s">
        <v>1499</v>
      </c>
      <c r="O487" s="1" t="str">
        <f>"341221197812030218"</f>
        <v>341221197812030218</v>
      </c>
      <c r="P487" s="23" t="s">
        <v>1500</v>
      </c>
      <c r="Q487" s="23">
        <v>45185</v>
      </c>
      <c r="R487" s="32">
        <v>45551</v>
      </c>
      <c r="V487" s="33">
        <v>100</v>
      </c>
      <c r="W487" s="28">
        <v>64.29</v>
      </c>
      <c r="X487" s="34" t="s">
        <v>54</v>
      </c>
      <c r="Y487" s="33">
        <v>64.29</v>
      </c>
      <c r="AC487" s="28">
        <v>64.29</v>
      </c>
      <c r="AD487" s="34" t="s">
        <v>54</v>
      </c>
      <c r="AE487" s="33">
        <v>64.29</v>
      </c>
      <c r="AN487" s="7" t="s">
        <v>54</v>
      </c>
      <c r="AO487" s="7" t="s">
        <v>55</v>
      </c>
      <c r="AP487" s="7" t="s">
        <v>56</v>
      </c>
      <c r="AT487" s="47" t="s">
        <v>57</v>
      </c>
      <c r="AU487" s="47" t="s">
        <v>57</v>
      </c>
    </row>
    <row r="488" spans="1:47">
      <c r="A488" s="4" t="s">
        <v>48</v>
      </c>
      <c r="C488" s="21"/>
      <c r="D488" s="22" t="s">
        <v>49</v>
      </c>
      <c r="G488" s="23">
        <v>45092</v>
      </c>
      <c r="H488" s="24" t="s">
        <v>1501</v>
      </c>
      <c r="J488" s="28" t="s">
        <v>51</v>
      </c>
      <c r="L488" s="24" t="s">
        <v>1502</v>
      </c>
      <c r="M488" s="1" t="str">
        <f>"132826196310310318"</f>
        <v>132826196310310318</v>
      </c>
      <c r="N488" s="24" t="s">
        <v>1502</v>
      </c>
      <c r="O488" s="1" t="str">
        <f>"132826196310310318"</f>
        <v>132826196310310318</v>
      </c>
      <c r="P488" s="23" t="s">
        <v>1085</v>
      </c>
      <c r="Q488" s="23">
        <v>45093</v>
      </c>
      <c r="R488" s="32">
        <v>45459</v>
      </c>
      <c r="V488" s="33">
        <v>100</v>
      </c>
      <c r="W488" s="28">
        <v>64.29</v>
      </c>
      <c r="X488" s="34" t="s">
        <v>54</v>
      </c>
      <c r="Y488" s="33">
        <v>64.29</v>
      </c>
      <c r="AC488" s="28">
        <v>64.29</v>
      </c>
      <c r="AD488" s="34" t="s">
        <v>54</v>
      </c>
      <c r="AE488" s="33">
        <v>64.29</v>
      </c>
      <c r="AN488" s="7" t="s">
        <v>54</v>
      </c>
      <c r="AO488" s="7" t="s">
        <v>55</v>
      </c>
      <c r="AP488" s="7" t="s">
        <v>56</v>
      </c>
      <c r="AT488" s="47" t="s">
        <v>57</v>
      </c>
      <c r="AU488" s="47" t="s">
        <v>57</v>
      </c>
    </row>
    <row r="489" spans="1:47">
      <c r="A489" s="4" t="s">
        <v>48</v>
      </c>
      <c r="C489" s="21"/>
      <c r="D489" s="22" t="s">
        <v>49</v>
      </c>
      <c r="G489" s="23">
        <v>45091</v>
      </c>
      <c r="H489" s="24" t="s">
        <v>1503</v>
      </c>
      <c r="J489" s="28" t="s">
        <v>51</v>
      </c>
      <c r="L489" s="24" t="s">
        <v>1504</v>
      </c>
      <c r="M489" s="1" t="str">
        <f>"110226197012283311"</f>
        <v>110226197012283311</v>
      </c>
      <c r="N489" s="24" t="s">
        <v>1504</v>
      </c>
      <c r="O489" s="1" t="str">
        <f>"110226197012283311"</f>
        <v>110226197012283311</v>
      </c>
      <c r="P489" s="23" t="s">
        <v>1505</v>
      </c>
      <c r="Q489" s="23">
        <v>45092</v>
      </c>
      <c r="R489" s="32">
        <v>45458</v>
      </c>
      <c r="V489" s="33">
        <v>100</v>
      </c>
      <c r="W489" s="28">
        <v>64.29</v>
      </c>
      <c r="X489" s="34" t="s">
        <v>54</v>
      </c>
      <c r="Y489" s="33">
        <v>64.29</v>
      </c>
      <c r="AC489" s="28">
        <v>64.29</v>
      </c>
      <c r="AD489" s="34" t="s">
        <v>54</v>
      </c>
      <c r="AE489" s="33">
        <v>64.29</v>
      </c>
      <c r="AN489" s="7" t="s">
        <v>54</v>
      </c>
      <c r="AO489" s="7" t="s">
        <v>55</v>
      </c>
      <c r="AP489" s="7" t="s">
        <v>56</v>
      </c>
      <c r="AT489" s="47" t="s">
        <v>57</v>
      </c>
      <c r="AU489" s="47" t="s">
        <v>57</v>
      </c>
    </row>
    <row r="490" spans="1:47">
      <c r="A490" s="4" t="s">
        <v>48</v>
      </c>
      <c r="C490" s="21"/>
      <c r="D490" s="22" t="s">
        <v>49</v>
      </c>
      <c r="G490" s="23">
        <v>45082</v>
      </c>
      <c r="H490" s="24" t="s">
        <v>1506</v>
      </c>
      <c r="J490" s="28" t="s">
        <v>51</v>
      </c>
      <c r="L490" s="24" t="s">
        <v>1507</v>
      </c>
      <c r="M490" s="1" t="str">
        <f>"341226197610156164"</f>
        <v>341226197610156164</v>
      </c>
      <c r="N490" s="24" t="s">
        <v>1507</v>
      </c>
      <c r="O490" s="1" t="str">
        <f>"341226197610156164"</f>
        <v>341226197610156164</v>
      </c>
      <c r="P490" s="23" t="s">
        <v>1508</v>
      </c>
      <c r="Q490" s="23">
        <v>45139</v>
      </c>
      <c r="R490" s="32">
        <v>45505</v>
      </c>
      <c r="V490" s="33">
        <v>100</v>
      </c>
      <c r="W490" s="28">
        <v>64.29</v>
      </c>
      <c r="X490" s="34" t="s">
        <v>54</v>
      </c>
      <c r="Y490" s="33">
        <v>64.29</v>
      </c>
      <c r="AC490" s="28">
        <v>64.29</v>
      </c>
      <c r="AD490" s="34" t="s">
        <v>54</v>
      </c>
      <c r="AE490" s="33">
        <v>64.29</v>
      </c>
      <c r="AN490" s="7" t="s">
        <v>54</v>
      </c>
      <c r="AO490" s="7" t="s">
        <v>55</v>
      </c>
      <c r="AP490" s="7" t="s">
        <v>56</v>
      </c>
      <c r="AT490" s="47" t="s">
        <v>57</v>
      </c>
      <c r="AU490" s="47" t="s">
        <v>57</v>
      </c>
    </row>
    <row r="491" spans="1:47">
      <c r="A491" s="4" t="s">
        <v>48</v>
      </c>
      <c r="C491" s="21"/>
      <c r="D491" s="22" t="s">
        <v>49</v>
      </c>
      <c r="G491" s="23">
        <v>45084</v>
      </c>
      <c r="H491" s="24" t="s">
        <v>1509</v>
      </c>
      <c r="J491" s="28" t="s">
        <v>51</v>
      </c>
      <c r="L491" s="24" t="s">
        <v>1510</v>
      </c>
      <c r="M491" s="1" t="str">
        <f>"230205198509030811"</f>
        <v>230205198509030811</v>
      </c>
      <c r="N491" s="24" t="s">
        <v>1510</v>
      </c>
      <c r="O491" s="1" t="str">
        <f>"230205198509030811"</f>
        <v>230205198509030811</v>
      </c>
      <c r="P491" s="23" t="s">
        <v>1511</v>
      </c>
      <c r="Q491" s="23">
        <v>45085</v>
      </c>
      <c r="R491" s="32">
        <v>45451</v>
      </c>
      <c r="V491" s="33">
        <v>200</v>
      </c>
      <c r="W491" s="28">
        <v>64.29</v>
      </c>
      <c r="X491" s="34" t="s">
        <v>54</v>
      </c>
      <c r="Y491" s="33">
        <v>128.58</v>
      </c>
      <c r="AC491" s="28">
        <v>64.29</v>
      </c>
      <c r="AD491" s="34" t="s">
        <v>54</v>
      </c>
      <c r="AE491" s="33">
        <v>128.58</v>
      </c>
      <c r="AN491" s="7" t="s">
        <v>54</v>
      </c>
      <c r="AO491" s="7" t="s">
        <v>55</v>
      </c>
      <c r="AP491" s="7" t="s">
        <v>56</v>
      </c>
      <c r="AT491" s="47" t="s">
        <v>57</v>
      </c>
      <c r="AU491" s="47" t="s">
        <v>57</v>
      </c>
    </row>
    <row r="492" spans="1:47">
      <c r="A492" s="4" t="s">
        <v>48</v>
      </c>
      <c r="C492" s="21"/>
      <c r="D492" s="22" t="s">
        <v>49</v>
      </c>
      <c r="G492" s="23">
        <v>45084</v>
      </c>
      <c r="H492" s="24" t="s">
        <v>1512</v>
      </c>
      <c r="J492" s="28" t="s">
        <v>51</v>
      </c>
      <c r="L492" s="24" t="s">
        <v>1513</v>
      </c>
      <c r="M492" s="1" t="str">
        <f>"152104197807035528"</f>
        <v>152104197807035528</v>
      </c>
      <c r="N492" s="24" t="s">
        <v>1513</v>
      </c>
      <c r="O492" s="1" t="str">
        <f>"152104197807035528"</f>
        <v>152104197807035528</v>
      </c>
      <c r="P492" s="23" t="s">
        <v>1514</v>
      </c>
      <c r="Q492" s="23">
        <v>45114</v>
      </c>
      <c r="R492" s="32">
        <v>45480</v>
      </c>
      <c r="V492" s="33">
        <v>200</v>
      </c>
      <c r="W492" s="28">
        <v>64.29</v>
      </c>
      <c r="X492" s="34" t="s">
        <v>54</v>
      </c>
      <c r="Y492" s="33">
        <v>128.58</v>
      </c>
      <c r="AC492" s="28">
        <v>64.29</v>
      </c>
      <c r="AD492" s="34" t="s">
        <v>54</v>
      </c>
      <c r="AE492" s="33">
        <v>128.58</v>
      </c>
      <c r="AN492" s="7" t="s">
        <v>54</v>
      </c>
      <c r="AO492" s="7" t="s">
        <v>55</v>
      </c>
      <c r="AP492" s="7" t="s">
        <v>56</v>
      </c>
      <c r="AT492" s="47" t="s">
        <v>57</v>
      </c>
      <c r="AU492" s="47" t="s">
        <v>57</v>
      </c>
    </row>
    <row r="493" spans="1:47">
      <c r="A493" s="4" t="s">
        <v>48</v>
      </c>
      <c r="C493" s="21"/>
      <c r="D493" s="22" t="s">
        <v>49</v>
      </c>
      <c r="G493" s="23">
        <v>45084</v>
      </c>
      <c r="H493" s="24" t="s">
        <v>1515</v>
      </c>
      <c r="J493" s="28" t="s">
        <v>51</v>
      </c>
      <c r="L493" s="24" t="s">
        <v>1516</v>
      </c>
      <c r="M493" s="1" t="str">
        <f>"341204198704180858"</f>
        <v>341204198704180858</v>
      </c>
      <c r="N493" s="24" t="s">
        <v>1516</v>
      </c>
      <c r="O493" s="1" t="str">
        <f>"341204198704180858"</f>
        <v>341204198704180858</v>
      </c>
      <c r="P493" s="23" t="s">
        <v>1517</v>
      </c>
      <c r="Q493" s="23">
        <v>45085</v>
      </c>
      <c r="R493" s="32">
        <v>45451</v>
      </c>
      <c r="V493" s="33">
        <v>200</v>
      </c>
      <c r="W493" s="28">
        <v>64.29</v>
      </c>
      <c r="X493" s="34" t="s">
        <v>54</v>
      </c>
      <c r="Y493" s="33">
        <v>128.58</v>
      </c>
      <c r="AC493" s="28">
        <v>64.29</v>
      </c>
      <c r="AD493" s="34" t="s">
        <v>54</v>
      </c>
      <c r="AE493" s="33">
        <v>128.58</v>
      </c>
      <c r="AN493" s="7" t="s">
        <v>54</v>
      </c>
      <c r="AO493" s="7" t="s">
        <v>55</v>
      </c>
      <c r="AP493" s="7" t="s">
        <v>56</v>
      </c>
      <c r="AT493" s="47" t="s">
        <v>57</v>
      </c>
      <c r="AU493" s="47" t="s">
        <v>57</v>
      </c>
    </row>
    <row r="494" spans="1:47">
      <c r="A494" s="4" t="s">
        <v>48</v>
      </c>
      <c r="C494" s="21"/>
      <c r="D494" s="22" t="s">
        <v>49</v>
      </c>
      <c r="G494" s="23">
        <v>45101</v>
      </c>
      <c r="H494" s="24" t="s">
        <v>1518</v>
      </c>
      <c r="J494" s="28" t="s">
        <v>51</v>
      </c>
      <c r="L494" s="24" t="s">
        <v>1519</v>
      </c>
      <c r="M494" s="1" t="str">
        <f>"342128196812174727"</f>
        <v>342128196812174727</v>
      </c>
      <c r="N494" s="24" t="s">
        <v>1519</v>
      </c>
      <c r="O494" s="1" t="str">
        <f>"342128196812174727"</f>
        <v>342128196812174727</v>
      </c>
      <c r="P494" s="23" t="s">
        <v>1520</v>
      </c>
      <c r="Q494" s="23">
        <v>45102</v>
      </c>
      <c r="R494" s="32">
        <v>45468</v>
      </c>
      <c r="V494" s="33">
        <v>50</v>
      </c>
      <c r="W494" s="28">
        <v>64.29</v>
      </c>
      <c r="X494" s="34" t="s">
        <v>54</v>
      </c>
      <c r="Y494" s="33">
        <v>32.15</v>
      </c>
      <c r="AC494" s="28">
        <v>64.29</v>
      </c>
      <c r="AD494" s="34" t="s">
        <v>54</v>
      </c>
      <c r="AE494" s="33">
        <v>32.15</v>
      </c>
      <c r="AN494" s="7" t="s">
        <v>54</v>
      </c>
      <c r="AO494" s="7" t="s">
        <v>55</v>
      </c>
      <c r="AP494" s="7" t="s">
        <v>56</v>
      </c>
      <c r="AT494" s="47" t="s">
        <v>57</v>
      </c>
      <c r="AU494" s="47" t="s">
        <v>57</v>
      </c>
    </row>
    <row r="495" spans="1:47">
      <c r="A495" s="4" t="s">
        <v>48</v>
      </c>
      <c r="C495" s="21"/>
      <c r="D495" s="22" t="s">
        <v>49</v>
      </c>
      <c r="G495" s="23">
        <v>45102</v>
      </c>
      <c r="H495" s="24" t="s">
        <v>1521</v>
      </c>
      <c r="J495" s="28" t="s">
        <v>51</v>
      </c>
      <c r="L495" s="24" t="s">
        <v>1522</v>
      </c>
      <c r="M495" s="1" t="str">
        <f>"140104195608202239"</f>
        <v>140104195608202239</v>
      </c>
      <c r="N495" s="24" t="s">
        <v>1522</v>
      </c>
      <c r="O495" s="1" t="str">
        <f>"140104195608202239"</f>
        <v>140104195608202239</v>
      </c>
      <c r="P495" s="23" t="s">
        <v>1523</v>
      </c>
      <c r="Q495" s="23">
        <v>45103</v>
      </c>
      <c r="R495" s="32">
        <v>45469</v>
      </c>
      <c r="V495" s="33">
        <v>100</v>
      </c>
      <c r="W495" s="28">
        <v>64.29</v>
      </c>
      <c r="X495" s="34" t="s">
        <v>54</v>
      </c>
      <c r="Y495" s="33">
        <v>64.29</v>
      </c>
      <c r="AC495" s="28">
        <v>64.29</v>
      </c>
      <c r="AD495" s="34" t="s">
        <v>54</v>
      </c>
      <c r="AE495" s="33">
        <v>64.29</v>
      </c>
      <c r="AN495" s="7" t="s">
        <v>54</v>
      </c>
      <c r="AO495" s="7" t="s">
        <v>55</v>
      </c>
      <c r="AP495" s="7" t="s">
        <v>56</v>
      </c>
      <c r="AT495" s="47" t="s">
        <v>57</v>
      </c>
      <c r="AU495" s="47" t="s">
        <v>57</v>
      </c>
    </row>
    <row r="496" spans="1:47">
      <c r="A496" s="4" t="s">
        <v>48</v>
      </c>
      <c r="C496" s="21"/>
      <c r="D496" s="22" t="s">
        <v>49</v>
      </c>
      <c r="G496" s="23">
        <v>45102</v>
      </c>
      <c r="H496" s="24" t="s">
        <v>1524</v>
      </c>
      <c r="J496" s="28" t="s">
        <v>51</v>
      </c>
      <c r="L496" s="24" t="s">
        <v>1525</v>
      </c>
      <c r="M496" s="1" t="str">
        <f>"341221199012228524"</f>
        <v>341221199012228524</v>
      </c>
      <c r="N496" s="24" t="s">
        <v>1525</v>
      </c>
      <c r="O496" s="1" t="str">
        <f>"341221199012228524"</f>
        <v>341221199012228524</v>
      </c>
      <c r="P496" s="23" t="s">
        <v>1526</v>
      </c>
      <c r="Q496" s="23">
        <v>45103</v>
      </c>
      <c r="R496" s="32">
        <v>45469</v>
      </c>
      <c r="V496" s="33">
        <v>100</v>
      </c>
      <c r="W496" s="28">
        <v>64.29</v>
      </c>
      <c r="X496" s="34" t="s">
        <v>54</v>
      </c>
      <c r="Y496" s="33">
        <v>64.29</v>
      </c>
      <c r="AC496" s="28">
        <v>64.29</v>
      </c>
      <c r="AD496" s="34" t="s">
        <v>54</v>
      </c>
      <c r="AE496" s="33">
        <v>64.29</v>
      </c>
      <c r="AN496" s="7" t="s">
        <v>54</v>
      </c>
      <c r="AO496" s="7" t="s">
        <v>55</v>
      </c>
      <c r="AP496" s="7" t="s">
        <v>56</v>
      </c>
      <c r="AT496" s="47" t="s">
        <v>57</v>
      </c>
      <c r="AU496" s="47" t="s">
        <v>57</v>
      </c>
    </row>
    <row r="497" spans="1:47">
      <c r="A497" s="4" t="s">
        <v>48</v>
      </c>
      <c r="C497" s="21"/>
      <c r="D497" s="22" t="s">
        <v>49</v>
      </c>
      <c r="G497" s="23">
        <v>45102</v>
      </c>
      <c r="H497" s="24" t="s">
        <v>1527</v>
      </c>
      <c r="J497" s="28" t="s">
        <v>51</v>
      </c>
      <c r="L497" s="24" t="s">
        <v>1528</v>
      </c>
      <c r="M497" s="1" t="str">
        <f>"34210119630323084X"</f>
        <v>34210119630323084X</v>
      </c>
      <c r="N497" s="24" t="s">
        <v>1528</v>
      </c>
      <c r="O497" s="1" t="str">
        <f>"34210119630323084X"</f>
        <v>34210119630323084X</v>
      </c>
      <c r="P497" s="23" t="s">
        <v>1529</v>
      </c>
      <c r="Q497" s="23">
        <v>45200</v>
      </c>
      <c r="R497" s="32">
        <v>45566</v>
      </c>
      <c r="V497" s="33">
        <v>100</v>
      </c>
      <c r="W497" s="28">
        <v>64.29</v>
      </c>
      <c r="X497" s="34" t="s">
        <v>54</v>
      </c>
      <c r="Y497" s="33">
        <v>64.29</v>
      </c>
      <c r="AC497" s="28">
        <v>64.29</v>
      </c>
      <c r="AD497" s="34" t="s">
        <v>54</v>
      </c>
      <c r="AE497" s="33">
        <v>64.29</v>
      </c>
      <c r="AN497" s="7" t="s">
        <v>54</v>
      </c>
      <c r="AO497" s="7" t="s">
        <v>55</v>
      </c>
      <c r="AP497" s="7" t="s">
        <v>56</v>
      </c>
      <c r="AT497" s="47" t="s">
        <v>57</v>
      </c>
      <c r="AU497" s="47" t="s">
        <v>57</v>
      </c>
    </row>
    <row r="498" spans="1:47">
      <c r="A498" s="4" t="s">
        <v>48</v>
      </c>
      <c r="C498" s="21"/>
      <c r="D498" s="22" t="s">
        <v>49</v>
      </c>
      <c r="G498" s="23">
        <v>45102</v>
      </c>
      <c r="H498" s="24" t="s">
        <v>1530</v>
      </c>
      <c r="J498" s="28" t="s">
        <v>51</v>
      </c>
      <c r="L498" s="24" t="s">
        <v>1531</v>
      </c>
      <c r="M498" s="1" t="str">
        <f>"131024198904112046"</f>
        <v>131024198904112046</v>
      </c>
      <c r="N498" s="24" t="s">
        <v>1531</v>
      </c>
      <c r="O498" s="1" t="str">
        <f>"131024198904112046"</f>
        <v>131024198904112046</v>
      </c>
      <c r="P498" s="23" t="s">
        <v>1532</v>
      </c>
      <c r="Q498" s="23">
        <v>45256</v>
      </c>
      <c r="R498" s="32">
        <v>45622</v>
      </c>
      <c r="V498" s="33">
        <v>100</v>
      </c>
      <c r="W498" s="28">
        <v>64.29</v>
      </c>
      <c r="X498" s="34" t="s">
        <v>54</v>
      </c>
      <c r="Y498" s="33">
        <v>64.29</v>
      </c>
      <c r="AC498" s="28">
        <v>64.29</v>
      </c>
      <c r="AD498" s="34" t="s">
        <v>54</v>
      </c>
      <c r="AE498" s="33">
        <v>64.29</v>
      </c>
      <c r="AN498" s="7" t="s">
        <v>54</v>
      </c>
      <c r="AO498" s="7" t="s">
        <v>55</v>
      </c>
      <c r="AP498" s="7" t="s">
        <v>56</v>
      </c>
      <c r="AT498" s="47" t="s">
        <v>57</v>
      </c>
      <c r="AU498" s="47" t="s">
        <v>57</v>
      </c>
    </row>
    <row r="499" spans="1:47">
      <c r="A499" s="4" t="s">
        <v>48</v>
      </c>
      <c r="C499" s="21"/>
      <c r="D499" s="22" t="s">
        <v>49</v>
      </c>
      <c r="G499" s="23">
        <v>45102</v>
      </c>
      <c r="H499" s="24" t="s">
        <v>1533</v>
      </c>
      <c r="J499" s="28" t="s">
        <v>51</v>
      </c>
      <c r="L499" s="24" t="s">
        <v>1534</v>
      </c>
      <c r="M499" s="1" t="str">
        <f>"131082196902195719"</f>
        <v>131082196902195719</v>
      </c>
      <c r="N499" s="24" t="s">
        <v>1534</v>
      </c>
      <c r="O499" s="1" t="str">
        <f>"131082196902195719"</f>
        <v>131082196902195719</v>
      </c>
      <c r="P499" s="23" t="s">
        <v>1535</v>
      </c>
      <c r="Q499" s="23">
        <v>45103</v>
      </c>
      <c r="R499" s="32">
        <v>45469</v>
      </c>
      <c r="V499" s="33">
        <v>100</v>
      </c>
      <c r="W499" s="28">
        <v>64.29</v>
      </c>
      <c r="X499" s="34" t="s">
        <v>54</v>
      </c>
      <c r="Y499" s="33">
        <v>64.29</v>
      </c>
      <c r="AC499" s="28">
        <v>64.29</v>
      </c>
      <c r="AD499" s="34" t="s">
        <v>54</v>
      </c>
      <c r="AE499" s="33">
        <v>64.29</v>
      </c>
      <c r="AN499" s="7" t="s">
        <v>54</v>
      </c>
      <c r="AO499" s="7" t="s">
        <v>55</v>
      </c>
      <c r="AP499" s="7" t="s">
        <v>56</v>
      </c>
      <c r="AT499" s="47" t="s">
        <v>57</v>
      </c>
      <c r="AU499" s="47" t="s">
        <v>57</v>
      </c>
    </row>
    <row r="500" spans="1:47">
      <c r="A500" s="4" t="s">
        <v>48</v>
      </c>
      <c r="C500" s="21"/>
      <c r="D500" s="22" t="s">
        <v>49</v>
      </c>
      <c r="G500" s="23">
        <v>45092</v>
      </c>
      <c r="H500" s="24" t="s">
        <v>1536</v>
      </c>
      <c r="J500" s="28" t="s">
        <v>51</v>
      </c>
      <c r="L500" s="24" t="s">
        <v>1537</v>
      </c>
      <c r="M500" s="1" t="str">
        <f>"34122119920317854X"</f>
        <v>34122119920317854X</v>
      </c>
      <c r="N500" s="24" t="s">
        <v>1537</v>
      </c>
      <c r="O500" s="1" t="str">
        <f>"34122119920317854X"</f>
        <v>34122119920317854X</v>
      </c>
      <c r="P500" s="23" t="s">
        <v>1538</v>
      </c>
      <c r="Q500" s="23">
        <v>45215</v>
      </c>
      <c r="R500" s="32">
        <v>45581</v>
      </c>
      <c r="V500" s="33">
        <v>100</v>
      </c>
      <c r="W500" s="28">
        <v>64.29</v>
      </c>
      <c r="X500" s="34" t="s">
        <v>54</v>
      </c>
      <c r="Y500" s="33">
        <v>64.29</v>
      </c>
      <c r="AC500" s="28">
        <v>64.29</v>
      </c>
      <c r="AD500" s="34" t="s">
        <v>54</v>
      </c>
      <c r="AE500" s="33">
        <v>64.29</v>
      </c>
      <c r="AN500" s="7" t="s">
        <v>54</v>
      </c>
      <c r="AO500" s="7" t="s">
        <v>55</v>
      </c>
      <c r="AP500" s="7" t="s">
        <v>56</v>
      </c>
      <c r="AT500" s="47" t="s">
        <v>57</v>
      </c>
      <c r="AU500" s="47" t="s">
        <v>57</v>
      </c>
    </row>
    <row r="501" spans="1:47">
      <c r="A501" s="4" t="s">
        <v>48</v>
      </c>
      <c r="C501" s="21"/>
      <c r="D501" s="22" t="s">
        <v>49</v>
      </c>
      <c r="G501" s="23">
        <v>45091</v>
      </c>
      <c r="H501" s="24" t="s">
        <v>1539</v>
      </c>
      <c r="J501" s="28" t="s">
        <v>51</v>
      </c>
      <c r="L501" s="24" t="s">
        <v>1540</v>
      </c>
      <c r="M501" s="1" t="str">
        <f>"150430198810031765"</f>
        <v>150430198810031765</v>
      </c>
      <c r="N501" s="24" t="s">
        <v>1540</v>
      </c>
      <c r="O501" s="1" t="str">
        <f>"150430198810031765"</f>
        <v>150430198810031765</v>
      </c>
      <c r="P501" s="23" t="s">
        <v>1541</v>
      </c>
      <c r="Q501" s="23">
        <v>45092</v>
      </c>
      <c r="R501" s="32">
        <v>45458</v>
      </c>
      <c r="V501" s="33">
        <v>100</v>
      </c>
      <c r="W501" s="28">
        <v>64.29</v>
      </c>
      <c r="X501" s="34" t="s">
        <v>54</v>
      </c>
      <c r="Y501" s="33">
        <v>64.29</v>
      </c>
      <c r="AC501" s="28">
        <v>64.29</v>
      </c>
      <c r="AD501" s="34" t="s">
        <v>54</v>
      </c>
      <c r="AE501" s="33">
        <v>64.29</v>
      </c>
      <c r="AN501" s="7" t="s">
        <v>54</v>
      </c>
      <c r="AO501" s="7" t="s">
        <v>55</v>
      </c>
      <c r="AP501" s="7" t="s">
        <v>56</v>
      </c>
      <c r="AT501" s="47" t="s">
        <v>57</v>
      </c>
      <c r="AU501" s="47" t="s">
        <v>57</v>
      </c>
    </row>
    <row r="502" spans="1:47">
      <c r="A502" s="4" t="s">
        <v>48</v>
      </c>
      <c r="C502" s="21"/>
      <c r="D502" s="22" t="s">
        <v>49</v>
      </c>
      <c r="G502" s="23">
        <v>45092</v>
      </c>
      <c r="H502" s="24" t="s">
        <v>1542</v>
      </c>
      <c r="J502" s="28" t="s">
        <v>51</v>
      </c>
      <c r="L502" s="24" t="s">
        <v>1543</v>
      </c>
      <c r="M502" s="1" t="str">
        <f>"510824197901114010"</f>
        <v>510824197901114010</v>
      </c>
      <c r="N502" s="24" t="s">
        <v>1543</v>
      </c>
      <c r="O502" s="1" t="str">
        <f>"510824197901114010"</f>
        <v>510824197901114010</v>
      </c>
      <c r="P502" s="23" t="s">
        <v>1544</v>
      </c>
      <c r="Q502" s="23">
        <v>45093</v>
      </c>
      <c r="R502" s="32">
        <v>45459</v>
      </c>
      <c r="V502" s="33">
        <v>100</v>
      </c>
      <c r="W502" s="28">
        <v>64.29</v>
      </c>
      <c r="X502" s="34" t="s">
        <v>54</v>
      </c>
      <c r="Y502" s="33">
        <v>64.29</v>
      </c>
      <c r="AC502" s="28">
        <v>64.29</v>
      </c>
      <c r="AD502" s="34" t="s">
        <v>54</v>
      </c>
      <c r="AE502" s="33">
        <v>64.29</v>
      </c>
      <c r="AN502" s="7" t="s">
        <v>54</v>
      </c>
      <c r="AO502" s="7" t="s">
        <v>55</v>
      </c>
      <c r="AP502" s="7" t="s">
        <v>56</v>
      </c>
      <c r="AT502" s="47" t="s">
        <v>57</v>
      </c>
      <c r="AU502" s="47" t="s">
        <v>57</v>
      </c>
    </row>
    <row r="503" spans="1:47">
      <c r="A503" s="4" t="s">
        <v>48</v>
      </c>
      <c r="C503" s="21"/>
      <c r="D503" s="22" t="s">
        <v>49</v>
      </c>
      <c r="G503" s="23">
        <v>45090</v>
      </c>
      <c r="H503" s="24" t="s">
        <v>1545</v>
      </c>
      <c r="J503" s="28" t="s">
        <v>51</v>
      </c>
      <c r="L503" s="24" t="s">
        <v>1546</v>
      </c>
      <c r="M503" s="1" t="str">
        <f>"342101194411272220"</f>
        <v>342101194411272220</v>
      </c>
      <c r="N503" s="24" t="s">
        <v>1546</v>
      </c>
      <c r="O503" s="1" t="str">
        <f>"342101194411272220"</f>
        <v>342101194411272220</v>
      </c>
      <c r="P503" s="23" t="s">
        <v>1547</v>
      </c>
      <c r="Q503" s="23">
        <v>45213</v>
      </c>
      <c r="R503" s="32">
        <v>45579</v>
      </c>
      <c r="V503" s="33">
        <v>100</v>
      </c>
      <c r="W503" s="28">
        <v>64.29</v>
      </c>
      <c r="X503" s="34" t="s">
        <v>54</v>
      </c>
      <c r="Y503" s="33">
        <v>64.29</v>
      </c>
      <c r="AC503" s="28">
        <v>64.29</v>
      </c>
      <c r="AD503" s="34" t="s">
        <v>54</v>
      </c>
      <c r="AE503" s="33">
        <v>64.29</v>
      </c>
      <c r="AN503" s="7" t="s">
        <v>54</v>
      </c>
      <c r="AO503" s="7" t="s">
        <v>55</v>
      </c>
      <c r="AP503" s="7" t="s">
        <v>56</v>
      </c>
      <c r="AT503" s="47" t="s">
        <v>57</v>
      </c>
      <c r="AU503" s="47" t="s">
        <v>57</v>
      </c>
    </row>
    <row r="504" spans="1:47">
      <c r="A504" s="4" t="s">
        <v>48</v>
      </c>
      <c r="C504" s="21"/>
      <c r="D504" s="22" t="s">
        <v>49</v>
      </c>
      <c r="G504" s="23">
        <v>45089</v>
      </c>
      <c r="H504" s="24" t="s">
        <v>1548</v>
      </c>
      <c r="J504" s="28" t="s">
        <v>51</v>
      </c>
      <c r="L504" s="24" t="s">
        <v>1549</v>
      </c>
      <c r="M504" s="1" t="str">
        <f>"131082198406060275"</f>
        <v>131082198406060275</v>
      </c>
      <c r="N504" s="24" t="s">
        <v>1549</v>
      </c>
      <c r="O504" s="1" t="str">
        <f>"131082198406060275"</f>
        <v>131082198406060275</v>
      </c>
      <c r="P504" s="23" t="s">
        <v>1550</v>
      </c>
      <c r="Q504" s="23">
        <v>45212</v>
      </c>
      <c r="R504" s="32">
        <v>45578</v>
      </c>
      <c r="V504" s="33">
        <v>100</v>
      </c>
      <c r="W504" s="28">
        <v>64.29</v>
      </c>
      <c r="X504" s="34" t="s">
        <v>54</v>
      </c>
      <c r="Y504" s="33">
        <v>64.29</v>
      </c>
      <c r="AC504" s="28">
        <v>64.29</v>
      </c>
      <c r="AD504" s="34" t="s">
        <v>54</v>
      </c>
      <c r="AE504" s="33">
        <v>64.29</v>
      </c>
      <c r="AN504" s="7" t="s">
        <v>54</v>
      </c>
      <c r="AO504" s="7" t="s">
        <v>55</v>
      </c>
      <c r="AP504" s="7" t="s">
        <v>56</v>
      </c>
      <c r="AT504" s="47" t="s">
        <v>57</v>
      </c>
      <c r="AU504" s="47" t="s">
        <v>57</v>
      </c>
    </row>
    <row r="505" spans="1:47">
      <c r="A505" s="4" t="s">
        <v>48</v>
      </c>
      <c r="C505" s="21"/>
      <c r="D505" s="22" t="s">
        <v>49</v>
      </c>
      <c r="G505" s="23">
        <v>45089</v>
      </c>
      <c r="H505" s="24" t="s">
        <v>1551</v>
      </c>
      <c r="J505" s="28" t="s">
        <v>51</v>
      </c>
      <c r="L505" s="24" t="s">
        <v>1552</v>
      </c>
      <c r="M505" s="1" t="str">
        <f>"130638198408081527"</f>
        <v>130638198408081527</v>
      </c>
      <c r="N505" s="24" t="s">
        <v>1552</v>
      </c>
      <c r="O505" s="1" t="str">
        <f>"130638198408081527"</f>
        <v>130638198408081527</v>
      </c>
      <c r="P505" s="23" t="s">
        <v>1553</v>
      </c>
      <c r="Q505" s="23">
        <v>45090</v>
      </c>
      <c r="R505" s="32">
        <v>45456</v>
      </c>
      <c r="V505" s="33">
        <v>100</v>
      </c>
      <c r="W505" s="28">
        <v>64.29</v>
      </c>
      <c r="X505" s="34" t="s">
        <v>54</v>
      </c>
      <c r="Y505" s="33">
        <v>64.29</v>
      </c>
      <c r="AC505" s="28">
        <v>64.29</v>
      </c>
      <c r="AD505" s="34" t="s">
        <v>54</v>
      </c>
      <c r="AE505" s="33">
        <v>64.29</v>
      </c>
      <c r="AN505" s="7" t="s">
        <v>54</v>
      </c>
      <c r="AO505" s="7" t="s">
        <v>55</v>
      </c>
      <c r="AP505" s="7" t="s">
        <v>56</v>
      </c>
      <c r="AT505" s="47" t="s">
        <v>57</v>
      </c>
      <c r="AU505" s="47" t="s">
        <v>57</v>
      </c>
    </row>
    <row r="506" spans="1:47">
      <c r="A506" s="4" t="s">
        <v>48</v>
      </c>
      <c r="C506" s="21"/>
      <c r="D506" s="22" t="s">
        <v>49</v>
      </c>
      <c r="G506" s="23">
        <v>45089</v>
      </c>
      <c r="H506" s="24" t="s">
        <v>1554</v>
      </c>
      <c r="J506" s="28" t="s">
        <v>51</v>
      </c>
      <c r="L506" s="24" t="s">
        <v>1555</v>
      </c>
      <c r="M506" s="1" t="str">
        <f>"131082198909274101"</f>
        <v>131082198909274101</v>
      </c>
      <c r="N506" s="24" t="s">
        <v>1555</v>
      </c>
      <c r="O506" s="1" t="str">
        <f>"131082198909274101"</f>
        <v>131082198909274101</v>
      </c>
      <c r="P506" s="23" t="s">
        <v>1556</v>
      </c>
      <c r="Q506" s="23">
        <v>45090</v>
      </c>
      <c r="R506" s="32">
        <v>45456</v>
      </c>
      <c r="V506" s="33">
        <v>100</v>
      </c>
      <c r="W506" s="28">
        <v>64.29</v>
      </c>
      <c r="X506" s="34" t="s">
        <v>54</v>
      </c>
      <c r="Y506" s="33">
        <v>64.29</v>
      </c>
      <c r="AC506" s="28">
        <v>64.29</v>
      </c>
      <c r="AD506" s="34" t="s">
        <v>54</v>
      </c>
      <c r="AE506" s="33">
        <v>64.29</v>
      </c>
      <c r="AN506" s="7" t="s">
        <v>54</v>
      </c>
      <c r="AO506" s="7" t="s">
        <v>55</v>
      </c>
      <c r="AP506" s="7" t="s">
        <v>56</v>
      </c>
      <c r="AT506" s="47" t="s">
        <v>57</v>
      </c>
      <c r="AU506" s="47" t="s">
        <v>57</v>
      </c>
    </row>
    <row r="507" spans="1:47">
      <c r="A507" s="4" t="s">
        <v>48</v>
      </c>
      <c r="C507" s="21"/>
      <c r="D507" s="22" t="s">
        <v>49</v>
      </c>
      <c r="G507" s="23">
        <v>45082</v>
      </c>
      <c r="H507" s="24" t="s">
        <v>1557</v>
      </c>
      <c r="J507" s="28" t="s">
        <v>51</v>
      </c>
      <c r="L507" s="24" t="s">
        <v>1558</v>
      </c>
      <c r="M507" s="1" t="str">
        <f>"131082196807035514"</f>
        <v>131082196807035514</v>
      </c>
      <c r="N507" s="24" t="s">
        <v>1558</v>
      </c>
      <c r="O507" s="1" t="str">
        <f>"131082196807035514"</f>
        <v>131082196807035514</v>
      </c>
      <c r="P507" s="23" t="s">
        <v>1559</v>
      </c>
      <c r="Q507" s="23">
        <v>45175</v>
      </c>
      <c r="R507" s="32">
        <v>45541</v>
      </c>
      <c r="V507" s="33">
        <v>100</v>
      </c>
      <c r="W507" s="28">
        <v>64.29</v>
      </c>
      <c r="X507" s="34" t="s">
        <v>54</v>
      </c>
      <c r="Y507" s="33">
        <v>64.29</v>
      </c>
      <c r="AC507" s="28">
        <v>64.29</v>
      </c>
      <c r="AD507" s="34" t="s">
        <v>54</v>
      </c>
      <c r="AE507" s="33">
        <v>64.29</v>
      </c>
      <c r="AN507" s="7" t="s">
        <v>54</v>
      </c>
      <c r="AO507" s="7" t="s">
        <v>55</v>
      </c>
      <c r="AP507" s="7" t="s">
        <v>56</v>
      </c>
      <c r="AT507" s="47" t="s">
        <v>57</v>
      </c>
      <c r="AU507" s="47" t="s">
        <v>57</v>
      </c>
    </row>
    <row r="508" spans="1:47">
      <c r="A508" s="4" t="s">
        <v>48</v>
      </c>
      <c r="C508" s="21"/>
      <c r="D508" s="22" t="s">
        <v>49</v>
      </c>
      <c r="G508" s="23">
        <v>45082</v>
      </c>
      <c r="H508" s="24" t="s">
        <v>1560</v>
      </c>
      <c r="J508" s="28" t="s">
        <v>51</v>
      </c>
      <c r="L508" s="24" t="s">
        <v>1561</v>
      </c>
      <c r="M508" s="1" t="str">
        <f>"131082196812122049"</f>
        <v>131082196812122049</v>
      </c>
      <c r="N508" s="24" t="s">
        <v>1561</v>
      </c>
      <c r="O508" s="1" t="str">
        <f>"131082196812122049"</f>
        <v>131082196812122049</v>
      </c>
      <c r="P508" s="23" t="s">
        <v>1562</v>
      </c>
      <c r="Q508" s="23">
        <v>45175</v>
      </c>
      <c r="R508" s="32">
        <v>45541</v>
      </c>
      <c r="V508" s="33">
        <v>100</v>
      </c>
      <c r="W508" s="28">
        <v>64.29</v>
      </c>
      <c r="X508" s="34" t="s">
        <v>54</v>
      </c>
      <c r="Y508" s="33">
        <v>64.29</v>
      </c>
      <c r="AC508" s="28">
        <v>64.29</v>
      </c>
      <c r="AD508" s="34" t="s">
        <v>54</v>
      </c>
      <c r="AE508" s="33">
        <v>64.29</v>
      </c>
      <c r="AN508" s="7" t="s">
        <v>54</v>
      </c>
      <c r="AO508" s="7" t="s">
        <v>55</v>
      </c>
      <c r="AP508" s="7" t="s">
        <v>56</v>
      </c>
      <c r="AT508" s="47" t="s">
        <v>57</v>
      </c>
      <c r="AU508" s="47" t="s">
        <v>57</v>
      </c>
    </row>
    <row r="509" spans="1:47">
      <c r="A509" s="4" t="s">
        <v>48</v>
      </c>
      <c r="C509" s="21"/>
      <c r="D509" s="22" t="s">
        <v>49</v>
      </c>
      <c r="G509" s="23">
        <v>45079</v>
      </c>
      <c r="H509" s="24" t="s">
        <v>1563</v>
      </c>
      <c r="J509" s="28" t="s">
        <v>51</v>
      </c>
      <c r="L509" s="24" t="s">
        <v>1564</v>
      </c>
      <c r="M509" s="1" t="str">
        <f>"341623199702195648"</f>
        <v>341623199702195648</v>
      </c>
      <c r="N509" s="24" t="s">
        <v>1564</v>
      </c>
      <c r="O509" s="1" t="str">
        <f>"341623199702195648"</f>
        <v>341623199702195648</v>
      </c>
      <c r="P509" s="23" t="s">
        <v>1565</v>
      </c>
      <c r="Q509" s="23">
        <v>45080</v>
      </c>
      <c r="R509" s="32">
        <v>45446</v>
      </c>
      <c r="V509" s="33">
        <v>100</v>
      </c>
      <c r="W509" s="28">
        <v>64.29</v>
      </c>
      <c r="X509" s="34" t="s">
        <v>54</v>
      </c>
      <c r="Y509" s="33">
        <v>64.29</v>
      </c>
      <c r="AC509" s="28">
        <v>64.29</v>
      </c>
      <c r="AD509" s="34" t="s">
        <v>54</v>
      </c>
      <c r="AE509" s="33">
        <v>64.29</v>
      </c>
      <c r="AN509" s="7" t="s">
        <v>54</v>
      </c>
      <c r="AO509" s="7" t="s">
        <v>55</v>
      </c>
      <c r="AP509" s="7" t="s">
        <v>56</v>
      </c>
      <c r="AT509" s="47" t="s">
        <v>57</v>
      </c>
      <c r="AU509" s="47" t="s">
        <v>57</v>
      </c>
    </row>
    <row r="510" spans="1:47">
      <c r="A510" s="4" t="s">
        <v>48</v>
      </c>
      <c r="C510" s="21"/>
      <c r="D510" s="22" t="s">
        <v>49</v>
      </c>
      <c r="G510" s="23">
        <v>45078</v>
      </c>
      <c r="H510" s="24" t="s">
        <v>1566</v>
      </c>
      <c r="J510" s="28" t="s">
        <v>51</v>
      </c>
      <c r="L510" s="24" t="s">
        <v>1567</v>
      </c>
      <c r="M510" s="1" t="str">
        <f>"131082197109025540"</f>
        <v>131082197109025540</v>
      </c>
      <c r="N510" s="24" t="s">
        <v>1567</v>
      </c>
      <c r="O510" s="1" t="str">
        <f>"131082197109025540"</f>
        <v>131082197109025540</v>
      </c>
      <c r="P510" s="23" t="s">
        <v>1568</v>
      </c>
      <c r="Q510" s="23">
        <v>45093</v>
      </c>
      <c r="R510" s="32">
        <v>45459</v>
      </c>
      <c r="V510" s="33">
        <v>100</v>
      </c>
      <c r="W510" s="28">
        <v>64.29</v>
      </c>
      <c r="X510" s="34" t="s">
        <v>54</v>
      </c>
      <c r="Y510" s="33">
        <v>64.29</v>
      </c>
      <c r="AC510" s="28">
        <v>64.29</v>
      </c>
      <c r="AD510" s="34" t="s">
        <v>54</v>
      </c>
      <c r="AE510" s="33">
        <v>64.29</v>
      </c>
      <c r="AN510" s="7" t="s">
        <v>54</v>
      </c>
      <c r="AO510" s="7" t="s">
        <v>55</v>
      </c>
      <c r="AP510" s="7" t="s">
        <v>56</v>
      </c>
      <c r="AT510" s="47" t="s">
        <v>57</v>
      </c>
      <c r="AU510" s="47" t="s">
        <v>57</v>
      </c>
    </row>
    <row r="511" spans="1:47">
      <c r="A511" s="4" t="s">
        <v>48</v>
      </c>
      <c r="C511" s="21"/>
      <c r="D511" s="22" t="s">
        <v>49</v>
      </c>
      <c r="G511" s="23">
        <v>45078</v>
      </c>
      <c r="H511" s="24" t="s">
        <v>1569</v>
      </c>
      <c r="J511" s="28" t="s">
        <v>51</v>
      </c>
      <c r="L511" s="24" t="s">
        <v>1570</v>
      </c>
      <c r="M511" s="1" t="str">
        <f>"341227199411111065"</f>
        <v>341227199411111065</v>
      </c>
      <c r="N511" s="24" t="s">
        <v>1570</v>
      </c>
      <c r="O511" s="1" t="str">
        <f>"341227199411111065"</f>
        <v>341227199411111065</v>
      </c>
      <c r="P511" s="23" t="s">
        <v>1571</v>
      </c>
      <c r="Q511" s="23">
        <v>45079</v>
      </c>
      <c r="R511" s="32">
        <v>45445</v>
      </c>
      <c r="V511" s="33">
        <v>100</v>
      </c>
      <c r="W511" s="28">
        <v>64.29</v>
      </c>
      <c r="X511" s="34" t="s">
        <v>54</v>
      </c>
      <c r="Y511" s="33">
        <v>64.29</v>
      </c>
      <c r="AC511" s="28">
        <v>64.29</v>
      </c>
      <c r="AD511" s="34" t="s">
        <v>54</v>
      </c>
      <c r="AE511" s="33">
        <v>64.29</v>
      </c>
      <c r="AN511" s="7" t="s">
        <v>54</v>
      </c>
      <c r="AO511" s="7" t="s">
        <v>55</v>
      </c>
      <c r="AP511" s="7" t="s">
        <v>56</v>
      </c>
      <c r="AT511" s="47" t="s">
        <v>57</v>
      </c>
      <c r="AU511" s="47" t="s">
        <v>57</v>
      </c>
    </row>
    <row r="512" spans="1:47">
      <c r="A512" s="4" t="s">
        <v>48</v>
      </c>
      <c r="C512" s="21"/>
      <c r="D512" s="22" t="s">
        <v>49</v>
      </c>
      <c r="G512" s="23">
        <v>45079</v>
      </c>
      <c r="H512" s="24" t="s">
        <v>1572</v>
      </c>
      <c r="J512" s="28" t="s">
        <v>51</v>
      </c>
      <c r="L512" s="24" t="s">
        <v>1573</v>
      </c>
      <c r="M512" s="1" t="str">
        <f>"342121196803190018"</f>
        <v>342121196803190018</v>
      </c>
      <c r="N512" s="24" t="s">
        <v>1573</v>
      </c>
      <c r="O512" s="1" t="str">
        <f>"342121196803190018"</f>
        <v>342121196803190018</v>
      </c>
      <c r="P512" s="23" t="s">
        <v>1574</v>
      </c>
      <c r="Q512" s="23">
        <v>45080</v>
      </c>
      <c r="R512" s="32">
        <v>45446</v>
      </c>
      <c r="V512" s="33">
        <v>200</v>
      </c>
      <c r="W512" s="28">
        <v>64.29</v>
      </c>
      <c r="X512" s="34" t="s">
        <v>54</v>
      </c>
      <c r="Y512" s="33">
        <v>128.58</v>
      </c>
      <c r="AC512" s="28">
        <v>64.29</v>
      </c>
      <c r="AD512" s="34" t="s">
        <v>54</v>
      </c>
      <c r="AE512" s="33">
        <v>128.58</v>
      </c>
      <c r="AN512" s="7" t="s">
        <v>54</v>
      </c>
      <c r="AO512" s="7" t="s">
        <v>55</v>
      </c>
      <c r="AP512" s="7" t="s">
        <v>56</v>
      </c>
      <c r="AT512" s="47" t="s">
        <v>57</v>
      </c>
      <c r="AU512" s="47" t="s">
        <v>57</v>
      </c>
    </row>
    <row r="513" spans="1:47">
      <c r="A513" s="4" t="s">
        <v>48</v>
      </c>
      <c r="C513" s="21"/>
      <c r="D513" s="22" t="s">
        <v>49</v>
      </c>
      <c r="G513" s="23">
        <v>45077</v>
      </c>
      <c r="H513" s="24" t="s">
        <v>1575</v>
      </c>
      <c r="J513" s="28" t="s">
        <v>51</v>
      </c>
      <c r="L513" s="24" t="s">
        <v>1576</v>
      </c>
      <c r="M513" s="1" t="str">
        <f>"422802199803191726"</f>
        <v>422802199803191726</v>
      </c>
      <c r="N513" s="24" t="s">
        <v>1576</v>
      </c>
      <c r="O513" s="1" t="str">
        <f>"422802199803191726"</f>
        <v>422802199803191726</v>
      </c>
      <c r="P513" s="23" t="s">
        <v>1577</v>
      </c>
      <c r="Q513" s="23">
        <v>45078</v>
      </c>
      <c r="R513" s="32">
        <v>45444</v>
      </c>
      <c r="V513" s="33">
        <v>200</v>
      </c>
      <c r="W513" s="28">
        <v>64.29</v>
      </c>
      <c r="X513" s="34" t="s">
        <v>54</v>
      </c>
      <c r="Y513" s="33">
        <v>128.58</v>
      </c>
      <c r="AC513" s="28">
        <v>64.29</v>
      </c>
      <c r="AD513" s="34" t="s">
        <v>54</v>
      </c>
      <c r="AE513" s="33">
        <v>128.58</v>
      </c>
      <c r="AN513" s="7" t="s">
        <v>54</v>
      </c>
      <c r="AO513" s="7" t="s">
        <v>55</v>
      </c>
      <c r="AP513" s="7" t="s">
        <v>56</v>
      </c>
      <c r="AT513" s="47" t="s">
        <v>57</v>
      </c>
      <c r="AU513" s="47" t="s">
        <v>57</v>
      </c>
    </row>
    <row r="514" spans="1:47">
      <c r="A514" s="4" t="s">
        <v>48</v>
      </c>
      <c r="C514" s="21"/>
      <c r="D514" s="22" t="s">
        <v>49</v>
      </c>
      <c r="G514" s="23">
        <v>45099</v>
      </c>
      <c r="H514" s="24" t="s">
        <v>1578</v>
      </c>
      <c r="J514" s="28" t="s">
        <v>51</v>
      </c>
      <c r="L514" s="24" t="s">
        <v>1579</v>
      </c>
      <c r="M514" s="1" t="str">
        <f>"12022219540217402X"</f>
        <v>12022219540217402X</v>
      </c>
      <c r="N514" s="24" t="s">
        <v>1579</v>
      </c>
      <c r="O514" s="1" t="str">
        <f>"12022219540217402X"</f>
        <v>12022219540217402X</v>
      </c>
      <c r="P514" s="23" t="s">
        <v>1580</v>
      </c>
      <c r="Q514" s="23">
        <v>45100</v>
      </c>
      <c r="R514" s="32">
        <v>45466</v>
      </c>
      <c r="V514" s="33">
        <v>50</v>
      </c>
      <c r="W514" s="28">
        <v>64.29</v>
      </c>
      <c r="X514" s="34" t="s">
        <v>54</v>
      </c>
      <c r="Y514" s="33">
        <v>32.15</v>
      </c>
      <c r="AC514" s="28">
        <v>64.29</v>
      </c>
      <c r="AD514" s="34" t="s">
        <v>54</v>
      </c>
      <c r="AE514" s="33">
        <v>32.15</v>
      </c>
      <c r="AN514" s="7" t="s">
        <v>54</v>
      </c>
      <c r="AO514" s="7" t="s">
        <v>55</v>
      </c>
      <c r="AP514" s="7" t="s">
        <v>56</v>
      </c>
      <c r="AT514" s="47" t="s">
        <v>57</v>
      </c>
      <c r="AU514" s="47" t="s">
        <v>57</v>
      </c>
    </row>
    <row r="515" spans="1:47">
      <c r="A515" s="4" t="s">
        <v>48</v>
      </c>
      <c r="C515" s="21"/>
      <c r="D515" s="22" t="s">
        <v>49</v>
      </c>
      <c r="G515" s="23">
        <v>45100</v>
      </c>
      <c r="H515" s="24" t="s">
        <v>1581</v>
      </c>
      <c r="J515" s="28" t="s">
        <v>51</v>
      </c>
      <c r="L515" s="24" t="s">
        <v>1582</v>
      </c>
      <c r="M515" s="1" t="str">
        <f>"341225199410181253"</f>
        <v>341225199410181253</v>
      </c>
      <c r="N515" s="24" t="s">
        <v>1582</v>
      </c>
      <c r="O515" s="1" t="str">
        <f>"341225199410181253"</f>
        <v>341225199410181253</v>
      </c>
      <c r="P515" s="23" t="s">
        <v>1583</v>
      </c>
      <c r="Q515" s="23">
        <v>45101</v>
      </c>
      <c r="R515" s="32">
        <v>45467</v>
      </c>
      <c r="V515" s="33">
        <v>50</v>
      </c>
      <c r="W515" s="28">
        <v>64.29</v>
      </c>
      <c r="X515" s="34" t="s">
        <v>54</v>
      </c>
      <c r="Y515" s="33">
        <v>32.15</v>
      </c>
      <c r="AC515" s="28">
        <v>64.29</v>
      </c>
      <c r="AD515" s="34" t="s">
        <v>54</v>
      </c>
      <c r="AE515" s="33">
        <v>32.15</v>
      </c>
      <c r="AN515" s="7" t="s">
        <v>54</v>
      </c>
      <c r="AO515" s="7" t="s">
        <v>55</v>
      </c>
      <c r="AP515" s="7" t="s">
        <v>56</v>
      </c>
      <c r="AT515" s="47" t="s">
        <v>57</v>
      </c>
      <c r="AU515" s="47" t="s">
        <v>57</v>
      </c>
    </row>
    <row r="516" spans="1:47">
      <c r="A516" s="4" t="s">
        <v>48</v>
      </c>
      <c r="C516" s="21"/>
      <c r="D516" s="22" t="s">
        <v>49</v>
      </c>
      <c r="G516" s="23">
        <v>45100</v>
      </c>
      <c r="H516" s="24" t="s">
        <v>1584</v>
      </c>
      <c r="J516" s="28" t="s">
        <v>51</v>
      </c>
      <c r="L516" s="24" t="s">
        <v>1585</v>
      </c>
      <c r="M516" s="1" t="str">
        <f>"342127198012310113"</f>
        <v>342127198012310113</v>
      </c>
      <c r="N516" s="24" t="s">
        <v>1585</v>
      </c>
      <c r="O516" s="1" t="str">
        <f>"342127198012310113"</f>
        <v>342127198012310113</v>
      </c>
      <c r="P516" s="23" t="s">
        <v>1586</v>
      </c>
      <c r="Q516" s="23">
        <v>45101</v>
      </c>
      <c r="R516" s="32">
        <v>45467</v>
      </c>
      <c r="V516" s="33">
        <v>50</v>
      </c>
      <c r="W516" s="28">
        <v>64.29</v>
      </c>
      <c r="X516" s="34" t="s">
        <v>54</v>
      </c>
      <c r="Y516" s="33">
        <v>32.15</v>
      </c>
      <c r="AC516" s="28">
        <v>64.29</v>
      </c>
      <c r="AD516" s="34" t="s">
        <v>54</v>
      </c>
      <c r="AE516" s="33">
        <v>32.15</v>
      </c>
      <c r="AN516" s="7" t="s">
        <v>54</v>
      </c>
      <c r="AO516" s="7" t="s">
        <v>55</v>
      </c>
      <c r="AP516" s="7" t="s">
        <v>56</v>
      </c>
      <c r="AT516" s="47" t="s">
        <v>57</v>
      </c>
      <c r="AU516" s="47" t="s">
        <v>57</v>
      </c>
    </row>
    <row r="517" spans="1:47">
      <c r="A517" s="4" t="s">
        <v>48</v>
      </c>
      <c r="C517" s="21"/>
      <c r="D517" s="22" t="s">
        <v>49</v>
      </c>
      <c r="G517" s="23">
        <v>45097</v>
      </c>
      <c r="H517" s="24" t="s">
        <v>1587</v>
      </c>
      <c r="J517" s="28" t="s">
        <v>51</v>
      </c>
      <c r="L517" s="24" t="s">
        <v>1588</v>
      </c>
      <c r="M517" s="1" t="str">
        <f>"341202199108023516"</f>
        <v>341202199108023516</v>
      </c>
      <c r="N517" s="24" t="s">
        <v>1588</v>
      </c>
      <c r="O517" s="1" t="str">
        <f>"341202199108023516"</f>
        <v>341202199108023516</v>
      </c>
      <c r="P517" s="23" t="s">
        <v>1589</v>
      </c>
      <c r="Q517" s="23">
        <v>45098</v>
      </c>
      <c r="R517" s="32">
        <v>45464</v>
      </c>
      <c r="V517" s="33">
        <v>50</v>
      </c>
      <c r="W517" s="28">
        <v>64.29</v>
      </c>
      <c r="X517" s="34" t="s">
        <v>54</v>
      </c>
      <c r="Y517" s="33">
        <v>32.15</v>
      </c>
      <c r="AC517" s="28">
        <v>64.29</v>
      </c>
      <c r="AD517" s="34" t="s">
        <v>54</v>
      </c>
      <c r="AE517" s="33">
        <v>32.15</v>
      </c>
      <c r="AN517" s="7" t="s">
        <v>54</v>
      </c>
      <c r="AO517" s="7" t="s">
        <v>55</v>
      </c>
      <c r="AP517" s="7" t="s">
        <v>56</v>
      </c>
      <c r="AT517" s="47" t="s">
        <v>57</v>
      </c>
      <c r="AU517" s="47" t="s">
        <v>57</v>
      </c>
    </row>
    <row r="518" spans="1:47">
      <c r="A518" s="4" t="s">
        <v>48</v>
      </c>
      <c r="C518" s="21"/>
      <c r="D518" s="22" t="s">
        <v>49</v>
      </c>
      <c r="G518" s="23">
        <v>45098</v>
      </c>
      <c r="H518" s="24" t="s">
        <v>1590</v>
      </c>
      <c r="J518" s="28" t="s">
        <v>51</v>
      </c>
      <c r="L518" s="24" t="s">
        <v>1591</v>
      </c>
      <c r="M518" s="1" t="str">
        <f>"34122619871101272X"</f>
        <v>34122619871101272X</v>
      </c>
      <c r="N518" s="24" t="s">
        <v>1591</v>
      </c>
      <c r="O518" s="1" t="str">
        <f>"34122619871101272X"</f>
        <v>34122619871101272X</v>
      </c>
      <c r="P518" s="23" t="s">
        <v>1592</v>
      </c>
      <c r="Q518" s="23">
        <v>45099</v>
      </c>
      <c r="R518" s="32">
        <v>45465</v>
      </c>
      <c r="V518" s="33">
        <v>50</v>
      </c>
      <c r="W518" s="28">
        <v>64.29</v>
      </c>
      <c r="X518" s="34" t="s">
        <v>54</v>
      </c>
      <c r="Y518" s="33">
        <v>32.15</v>
      </c>
      <c r="AC518" s="28">
        <v>64.29</v>
      </c>
      <c r="AD518" s="34" t="s">
        <v>54</v>
      </c>
      <c r="AE518" s="33">
        <v>32.15</v>
      </c>
      <c r="AN518" s="7" t="s">
        <v>54</v>
      </c>
      <c r="AO518" s="7" t="s">
        <v>55</v>
      </c>
      <c r="AP518" s="7" t="s">
        <v>56</v>
      </c>
      <c r="AT518" s="47" t="s">
        <v>57</v>
      </c>
      <c r="AU518" s="47" t="s">
        <v>57</v>
      </c>
    </row>
    <row r="519" spans="1:47">
      <c r="A519" s="4" t="s">
        <v>48</v>
      </c>
      <c r="C519" s="21"/>
      <c r="D519" s="22" t="s">
        <v>49</v>
      </c>
      <c r="G519" s="23">
        <v>45102</v>
      </c>
      <c r="H519" s="24" t="s">
        <v>1593</v>
      </c>
      <c r="J519" s="28" t="s">
        <v>51</v>
      </c>
      <c r="L519" s="24" t="s">
        <v>1594</v>
      </c>
      <c r="M519" s="1" t="str">
        <f>"340302199105171040"</f>
        <v>340302199105171040</v>
      </c>
      <c r="N519" s="24" t="s">
        <v>1594</v>
      </c>
      <c r="O519" s="1" t="str">
        <f>"340302199105171040"</f>
        <v>340302199105171040</v>
      </c>
      <c r="P519" s="23" t="s">
        <v>1595</v>
      </c>
      <c r="Q519" s="23">
        <v>45103</v>
      </c>
      <c r="R519" s="32">
        <v>45469</v>
      </c>
      <c r="V519" s="33">
        <v>100</v>
      </c>
      <c r="W519" s="28">
        <v>64.29</v>
      </c>
      <c r="X519" s="34" t="s">
        <v>54</v>
      </c>
      <c r="Y519" s="33">
        <v>64.29</v>
      </c>
      <c r="AC519" s="28">
        <v>64.29</v>
      </c>
      <c r="AD519" s="34" t="s">
        <v>54</v>
      </c>
      <c r="AE519" s="33">
        <v>64.29</v>
      </c>
      <c r="AN519" s="7" t="s">
        <v>54</v>
      </c>
      <c r="AO519" s="7" t="s">
        <v>55</v>
      </c>
      <c r="AP519" s="7" t="s">
        <v>56</v>
      </c>
      <c r="AT519" s="47" t="s">
        <v>57</v>
      </c>
      <c r="AU519" s="47" t="s">
        <v>57</v>
      </c>
    </row>
    <row r="520" spans="1:47">
      <c r="A520" s="4" t="s">
        <v>48</v>
      </c>
      <c r="C520" s="21"/>
      <c r="D520" s="22" t="s">
        <v>49</v>
      </c>
      <c r="G520" s="23">
        <v>45100</v>
      </c>
      <c r="H520" s="24" t="s">
        <v>1596</v>
      </c>
      <c r="J520" s="28" t="s">
        <v>51</v>
      </c>
      <c r="L520" s="24" t="s">
        <v>1597</v>
      </c>
      <c r="M520" s="1" t="str">
        <f>"342101195809191310"</f>
        <v>342101195809191310</v>
      </c>
      <c r="N520" s="24" t="s">
        <v>1597</v>
      </c>
      <c r="O520" s="1" t="str">
        <f>"342101195809191310"</f>
        <v>342101195809191310</v>
      </c>
      <c r="P520" s="23" t="s">
        <v>1598</v>
      </c>
      <c r="Q520" s="23">
        <v>45101</v>
      </c>
      <c r="R520" s="32">
        <v>45467</v>
      </c>
      <c r="V520" s="33">
        <v>100</v>
      </c>
      <c r="W520" s="28">
        <v>64.29</v>
      </c>
      <c r="X520" s="34" t="s">
        <v>54</v>
      </c>
      <c r="Y520" s="33">
        <v>64.29</v>
      </c>
      <c r="AC520" s="28">
        <v>64.29</v>
      </c>
      <c r="AD520" s="34" t="s">
        <v>54</v>
      </c>
      <c r="AE520" s="33">
        <v>64.29</v>
      </c>
      <c r="AN520" s="7" t="s">
        <v>54</v>
      </c>
      <c r="AO520" s="7" t="s">
        <v>55</v>
      </c>
      <c r="AP520" s="7" t="s">
        <v>56</v>
      </c>
      <c r="AT520" s="47" t="s">
        <v>57</v>
      </c>
      <c r="AU520" s="47" t="s">
        <v>57</v>
      </c>
    </row>
    <row r="521" spans="1:47">
      <c r="A521" s="4" t="s">
        <v>48</v>
      </c>
      <c r="C521" s="21"/>
      <c r="D521" s="22" t="s">
        <v>49</v>
      </c>
      <c r="G521" s="23">
        <v>45090</v>
      </c>
      <c r="H521" s="24" t="s">
        <v>1599</v>
      </c>
      <c r="J521" s="28" t="s">
        <v>51</v>
      </c>
      <c r="L521" s="24" t="s">
        <v>1600</v>
      </c>
      <c r="M521" s="1" t="str">
        <f>"130202197909183625"</f>
        <v>130202197909183625</v>
      </c>
      <c r="N521" s="24" t="s">
        <v>1600</v>
      </c>
      <c r="O521" s="1" t="str">
        <f>"130202197909183625"</f>
        <v>130202197909183625</v>
      </c>
      <c r="P521" s="23" t="s">
        <v>1601</v>
      </c>
      <c r="Q521" s="23">
        <v>45152</v>
      </c>
      <c r="R521" s="32">
        <v>45518</v>
      </c>
      <c r="V521" s="33">
        <v>100</v>
      </c>
      <c r="W521" s="28">
        <v>64.29</v>
      </c>
      <c r="X521" s="34" t="s">
        <v>54</v>
      </c>
      <c r="Y521" s="33">
        <v>64.29</v>
      </c>
      <c r="AC521" s="28">
        <v>64.29</v>
      </c>
      <c r="AD521" s="34" t="s">
        <v>54</v>
      </c>
      <c r="AE521" s="33">
        <v>64.29</v>
      </c>
      <c r="AN521" s="7" t="s">
        <v>54</v>
      </c>
      <c r="AO521" s="7" t="s">
        <v>55</v>
      </c>
      <c r="AP521" s="7" t="s">
        <v>56</v>
      </c>
      <c r="AT521" s="47" t="s">
        <v>57</v>
      </c>
      <c r="AU521" s="47" t="s">
        <v>57</v>
      </c>
    </row>
    <row r="522" spans="1:47">
      <c r="A522" s="4" t="s">
        <v>48</v>
      </c>
      <c r="C522" s="21"/>
      <c r="D522" s="22" t="s">
        <v>49</v>
      </c>
      <c r="G522" s="23">
        <v>45090</v>
      </c>
      <c r="H522" s="24" t="s">
        <v>1602</v>
      </c>
      <c r="J522" s="28" t="s">
        <v>51</v>
      </c>
      <c r="L522" s="24" t="s">
        <v>1603</v>
      </c>
      <c r="M522" s="1" t="str">
        <f>"341202199112061531"</f>
        <v>341202199112061531</v>
      </c>
      <c r="N522" s="24" t="s">
        <v>1603</v>
      </c>
      <c r="O522" s="1" t="str">
        <f>"341202199112061531"</f>
        <v>341202199112061531</v>
      </c>
      <c r="P522" s="23" t="s">
        <v>1604</v>
      </c>
      <c r="Q522" s="23">
        <v>45200</v>
      </c>
      <c r="R522" s="32">
        <v>45566</v>
      </c>
      <c r="V522" s="33">
        <v>100</v>
      </c>
      <c r="W522" s="28">
        <v>64.29</v>
      </c>
      <c r="X522" s="34" t="s">
        <v>54</v>
      </c>
      <c r="Y522" s="33">
        <v>64.29</v>
      </c>
      <c r="AC522" s="28">
        <v>64.29</v>
      </c>
      <c r="AD522" s="34" t="s">
        <v>54</v>
      </c>
      <c r="AE522" s="33">
        <v>64.29</v>
      </c>
      <c r="AN522" s="7" t="s">
        <v>54</v>
      </c>
      <c r="AO522" s="7" t="s">
        <v>55</v>
      </c>
      <c r="AP522" s="7" t="s">
        <v>56</v>
      </c>
      <c r="AT522" s="47" t="s">
        <v>57</v>
      </c>
      <c r="AU522" s="47" t="s">
        <v>57</v>
      </c>
    </row>
    <row r="523" spans="1:47">
      <c r="A523" s="4" t="s">
        <v>48</v>
      </c>
      <c r="C523" s="21"/>
      <c r="D523" s="22" t="s">
        <v>49</v>
      </c>
      <c r="G523" s="23">
        <v>45089</v>
      </c>
      <c r="H523" s="24" t="s">
        <v>1605</v>
      </c>
      <c r="J523" s="28" t="s">
        <v>51</v>
      </c>
      <c r="L523" s="24" t="s">
        <v>1606</v>
      </c>
      <c r="M523" s="1" t="str">
        <f>"342101196209112548"</f>
        <v>342101196209112548</v>
      </c>
      <c r="N523" s="24" t="s">
        <v>1606</v>
      </c>
      <c r="O523" s="1" t="str">
        <f>"342101196209112548"</f>
        <v>342101196209112548</v>
      </c>
      <c r="P523" s="23" t="s">
        <v>1607</v>
      </c>
      <c r="Q523" s="23">
        <v>45090</v>
      </c>
      <c r="R523" s="32">
        <v>45456</v>
      </c>
      <c r="V523" s="33">
        <v>100</v>
      </c>
      <c r="W523" s="28">
        <v>64.29</v>
      </c>
      <c r="X523" s="34" t="s">
        <v>54</v>
      </c>
      <c r="Y523" s="33">
        <v>64.29</v>
      </c>
      <c r="AC523" s="28">
        <v>64.29</v>
      </c>
      <c r="AD523" s="34" t="s">
        <v>54</v>
      </c>
      <c r="AE523" s="33">
        <v>64.29</v>
      </c>
      <c r="AN523" s="7" t="s">
        <v>54</v>
      </c>
      <c r="AO523" s="7" t="s">
        <v>55</v>
      </c>
      <c r="AP523" s="7" t="s">
        <v>56</v>
      </c>
      <c r="AT523" s="47" t="s">
        <v>57</v>
      </c>
      <c r="AU523" s="47" t="s">
        <v>57</v>
      </c>
    </row>
    <row r="524" spans="1:47">
      <c r="A524" s="4" t="s">
        <v>48</v>
      </c>
      <c r="C524" s="21"/>
      <c r="D524" s="22" t="s">
        <v>49</v>
      </c>
      <c r="G524" s="23">
        <v>45089</v>
      </c>
      <c r="H524" s="24" t="s">
        <v>1608</v>
      </c>
      <c r="J524" s="28" t="s">
        <v>51</v>
      </c>
      <c r="L524" s="24" t="s">
        <v>1609</v>
      </c>
      <c r="M524" s="1" t="str">
        <f>"341225198907120048"</f>
        <v>341225198907120048</v>
      </c>
      <c r="N524" s="24" t="s">
        <v>1609</v>
      </c>
      <c r="O524" s="1" t="str">
        <f>"341225198907120048"</f>
        <v>341225198907120048</v>
      </c>
      <c r="P524" s="23" t="s">
        <v>1610</v>
      </c>
      <c r="Q524" s="23">
        <v>45212</v>
      </c>
      <c r="R524" s="32">
        <v>45578</v>
      </c>
      <c r="V524" s="33">
        <v>100</v>
      </c>
      <c r="W524" s="28">
        <v>64.29</v>
      </c>
      <c r="X524" s="34" t="s">
        <v>54</v>
      </c>
      <c r="Y524" s="33">
        <v>64.29</v>
      </c>
      <c r="AC524" s="28">
        <v>64.29</v>
      </c>
      <c r="AD524" s="34" t="s">
        <v>54</v>
      </c>
      <c r="AE524" s="33">
        <v>64.29</v>
      </c>
      <c r="AN524" s="7" t="s">
        <v>54</v>
      </c>
      <c r="AO524" s="7" t="s">
        <v>55</v>
      </c>
      <c r="AP524" s="7" t="s">
        <v>56</v>
      </c>
      <c r="AT524" s="47" t="s">
        <v>57</v>
      </c>
      <c r="AU524" s="47" t="s">
        <v>57</v>
      </c>
    </row>
    <row r="525" spans="1:47">
      <c r="A525" s="4" t="s">
        <v>48</v>
      </c>
      <c r="C525" s="21"/>
      <c r="D525" s="22" t="s">
        <v>49</v>
      </c>
      <c r="G525" s="23">
        <v>45078</v>
      </c>
      <c r="H525" s="24" t="s">
        <v>1611</v>
      </c>
      <c r="J525" s="28" t="s">
        <v>51</v>
      </c>
      <c r="L525" s="24" t="s">
        <v>1612</v>
      </c>
      <c r="M525" s="1" t="str">
        <f>"342101195808050217"</f>
        <v>342101195808050217</v>
      </c>
      <c r="N525" s="24" t="s">
        <v>1612</v>
      </c>
      <c r="O525" s="1" t="str">
        <f>"342101195808050217"</f>
        <v>342101195808050217</v>
      </c>
      <c r="P525" s="23" t="s">
        <v>1613</v>
      </c>
      <c r="Q525" s="23">
        <v>45079</v>
      </c>
      <c r="R525" s="32">
        <v>45445</v>
      </c>
      <c r="V525" s="33">
        <v>100</v>
      </c>
      <c r="W525" s="28">
        <v>64.29</v>
      </c>
      <c r="X525" s="34" t="s">
        <v>54</v>
      </c>
      <c r="Y525" s="33">
        <v>64.29</v>
      </c>
      <c r="AC525" s="28">
        <v>64.29</v>
      </c>
      <c r="AD525" s="34" t="s">
        <v>54</v>
      </c>
      <c r="AE525" s="33">
        <v>64.29</v>
      </c>
      <c r="AN525" s="7" t="s">
        <v>54</v>
      </c>
      <c r="AO525" s="7" t="s">
        <v>55</v>
      </c>
      <c r="AP525" s="7" t="s">
        <v>56</v>
      </c>
      <c r="AT525" s="47" t="s">
        <v>57</v>
      </c>
      <c r="AU525" s="47" t="s">
        <v>57</v>
      </c>
    </row>
    <row r="526" spans="1:47">
      <c r="A526" s="4" t="s">
        <v>48</v>
      </c>
      <c r="C526" s="21"/>
      <c r="D526" s="22" t="s">
        <v>49</v>
      </c>
      <c r="G526" s="23">
        <v>45076</v>
      </c>
      <c r="H526" s="24" t="s">
        <v>1614</v>
      </c>
      <c r="J526" s="28" t="s">
        <v>51</v>
      </c>
      <c r="L526" s="24" t="s">
        <v>1615</v>
      </c>
      <c r="M526" s="1" t="str">
        <f>"341204198008061046"</f>
        <v>341204198008061046</v>
      </c>
      <c r="N526" s="24" t="s">
        <v>1615</v>
      </c>
      <c r="O526" s="1" t="str">
        <f>"341204198008061046"</f>
        <v>341204198008061046</v>
      </c>
      <c r="P526" s="23" t="s">
        <v>1616</v>
      </c>
      <c r="Q526" s="23">
        <v>45077</v>
      </c>
      <c r="R526" s="32">
        <v>45443</v>
      </c>
      <c r="V526" s="33">
        <v>100</v>
      </c>
      <c r="W526" s="28">
        <v>64.29</v>
      </c>
      <c r="X526" s="34" t="s">
        <v>54</v>
      </c>
      <c r="Y526" s="33">
        <v>64.29</v>
      </c>
      <c r="AC526" s="28">
        <v>64.29</v>
      </c>
      <c r="AD526" s="34" t="s">
        <v>54</v>
      </c>
      <c r="AE526" s="33">
        <v>64.29</v>
      </c>
      <c r="AN526" s="7" t="s">
        <v>54</v>
      </c>
      <c r="AO526" s="7" t="s">
        <v>55</v>
      </c>
      <c r="AP526" s="7" t="s">
        <v>56</v>
      </c>
      <c r="AT526" s="47" t="s">
        <v>57</v>
      </c>
      <c r="AU526" s="47" t="s">
        <v>57</v>
      </c>
    </row>
    <row r="527" spans="1:47">
      <c r="A527" s="4" t="s">
        <v>48</v>
      </c>
      <c r="C527" s="21"/>
      <c r="D527" s="22" t="s">
        <v>49</v>
      </c>
      <c r="G527" s="23">
        <v>45077</v>
      </c>
      <c r="H527" s="24" t="s">
        <v>1617</v>
      </c>
      <c r="J527" s="28" t="s">
        <v>51</v>
      </c>
      <c r="L527" s="24" t="s">
        <v>1618</v>
      </c>
      <c r="M527" s="1" t="str">
        <f>"342101197701238817"</f>
        <v>342101197701238817</v>
      </c>
      <c r="N527" s="24" t="s">
        <v>1618</v>
      </c>
      <c r="O527" s="1" t="str">
        <f>"342101197701238817"</f>
        <v>342101197701238817</v>
      </c>
      <c r="P527" s="23" t="s">
        <v>1619</v>
      </c>
      <c r="Q527" s="23">
        <v>45078</v>
      </c>
      <c r="R527" s="32">
        <v>45444</v>
      </c>
      <c r="V527" s="33">
        <v>100</v>
      </c>
      <c r="W527" s="28">
        <v>64.29</v>
      </c>
      <c r="X527" s="34" t="s">
        <v>54</v>
      </c>
      <c r="Y527" s="33">
        <v>64.29</v>
      </c>
      <c r="AC527" s="28">
        <v>64.29</v>
      </c>
      <c r="AD527" s="34" t="s">
        <v>54</v>
      </c>
      <c r="AE527" s="33">
        <v>64.29</v>
      </c>
      <c r="AN527" s="7" t="s">
        <v>54</v>
      </c>
      <c r="AO527" s="7" t="s">
        <v>55</v>
      </c>
      <c r="AP527" s="7" t="s">
        <v>56</v>
      </c>
      <c r="AT527" s="47" t="s">
        <v>57</v>
      </c>
      <c r="AU527" s="47" t="s">
        <v>57</v>
      </c>
    </row>
    <row r="528" spans="1:47">
      <c r="A528" s="4" t="s">
        <v>48</v>
      </c>
      <c r="C528" s="21"/>
      <c r="D528" s="22" t="s">
        <v>49</v>
      </c>
      <c r="G528" s="23">
        <v>45077</v>
      </c>
      <c r="H528" s="24" t="s">
        <v>1620</v>
      </c>
      <c r="J528" s="28" t="s">
        <v>51</v>
      </c>
      <c r="L528" s="24" t="s">
        <v>1621</v>
      </c>
      <c r="M528" s="1" t="str">
        <f>"34120219660406337X"</f>
        <v>34120219660406337X</v>
      </c>
      <c r="N528" s="24" t="s">
        <v>1621</v>
      </c>
      <c r="O528" s="1" t="str">
        <f>"34120219660406337X"</f>
        <v>34120219660406337X</v>
      </c>
      <c r="P528" s="23" t="s">
        <v>1622</v>
      </c>
      <c r="Q528" s="23">
        <v>45078</v>
      </c>
      <c r="R528" s="32">
        <v>45444</v>
      </c>
      <c r="V528" s="33">
        <v>100</v>
      </c>
      <c r="W528" s="28">
        <v>64.29</v>
      </c>
      <c r="X528" s="34" t="s">
        <v>54</v>
      </c>
      <c r="Y528" s="33">
        <v>64.29</v>
      </c>
      <c r="AC528" s="28">
        <v>64.29</v>
      </c>
      <c r="AD528" s="34" t="s">
        <v>54</v>
      </c>
      <c r="AE528" s="33">
        <v>64.29</v>
      </c>
      <c r="AN528" s="7" t="s">
        <v>54</v>
      </c>
      <c r="AO528" s="7" t="s">
        <v>55</v>
      </c>
      <c r="AP528" s="7" t="s">
        <v>56</v>
      </c>
      <c r="AT528" s="47" t="s">
        <v>57</v>
      </c>
      <c r="AU528" s="47" t="s">
        <v>57</v>
      </c>
    </row>
    <row r="529" spans="1:47">
      <c r="A529" s="4" t="s">
        <v>48</v>
      </c>
      <c r="C529" s="21"/>
      <c r="D529" s="22" t="s">
        <v>49</v>
      </c>
      <c r="G529" s="23">
        <v>45078</v>
      </c>
      <c r="H529" s="24" t="s">
        <v>1623</v>
      </c>
      <c r="J529" s="28" t="s">
        <v>51</v>
      </c>
      <c r="L529" s="24" t="s">
        <v>1624</v>
      </c>
      <c r="M529" s="1" t="str">
        <f>"341221198911207554"</f>
        <v>341221198911207554</v>
      </c>
      <c r="N529" s="24" t="s">
        <v>1624</v>
      </c>
      <c r="O529" s="1" t="str">
        <f>"341221198911207554"</f>
        <v>341221198911207554</v>
      </c>
      <c r="P529" s="23" t="s">
        <v>1625</v>
      </c>
      <c r="Q529" s="23">
        <v>45079</v>
      </c>
      <c r="R529" s="32">
        <v>45445</v>
      </c>
      <c r="V529" s="33">
        <v>200</v>
      </c>
      <c r="W529" s="28">
        <v>64.29</v>
      </c>
      <c r="X529" s="34" t="s">
        <v>54</v>
      </c>
      <c r="Y529" s="33">
        <v>128.58</v>
      </c>
      <c r="AC529" s="28">
        <v>64.29</v>
      </c>
      <c r="AD529" s="34" t="s">
        <v>54</v>
      </c>
      <c r="AE529" s="33">
        <v>128.58</v>
      </c>
      <c r="AN529" s="7" t="s">
        <v>54</v>
      </c>
      <c r="AO529" s="7" t="s">
        <v>55</v>
      </c>
      <c r="AP529" s="7" t="s">
        <v>56</v>
      </c>
      <c r="AT529" s="47" t="s">
        <v>57</v>
      </c>
      <c r="AU529" s="47" t="s">
        <v>57</v>
      </c>
    </row>
    <row r="530" spans="1:47">
      <c r="A530" s="4" t="s">
        <v>48</v>
      </c>
      <c r="C530" s="21"/>
      <c r="D530" s="22" t="s">
        <v>49</v>
      </c>
      <c r="G530" s="23">
        <v>45075</v>
      </c>
      <c r="H530" s="24" t="s">
        <v>1626</v>
      </c>
      <c r="J530" s="28" t="s">
        <v>51</v>
      </c>
      <c r="L530" s="24" t="s">
        <v>1627</v>
      </c>
      <c r="M530" s="1" t="str">
        <f>"342101195705081811"</f>
        <v>342101195705081811</v>
      </c>
      <c r="N530" s="24" t="s">
        <v>1627</v>
      </c>
      <c r="O530" s="1" t="str">
        <f>"342101195705081811"</f>
        <v>342101195705081811</v>
      </c>
      <c r="P530" s="23" t="s">
        <v>1628</v>
      </c>
      <c r="Q530" s="23">
        <v>45076</v>
      </c>
      <c r="R530" s="32">
        <v>45442</v>
      </c>
      <c r="V530" s="33">
        <v>200</v>
      </c>
      <c r="W530" s="28">
        <v>64.29</v>
      </c>
      <c r="X530" s="34" t="s">
        <v>54</v>
      </c>
      <c r="Y530" s="33">
        <v>128.58</v>
      </c>
      <c r="AC530" s="28">
        <v>64.29</v>
      </c>
      <c r="AD530" s="34" t="s">
        <v>54</v>
      </c>
      <c r="AE530" s="33">
        <v>128.58</v>
      </c>
      <c r="AN530" s="7" t="s">
        <v>54</v>
      </c>
      <c r="AO530" s="7" t="s">
        <v>55</v>
      </c>
      <c r="AP530" s="7" t="s">
        <v>56</v>
      </c>
      <c r="AT530" s="47" t="s">
        <v>57</v>
      </c>
      <c r="AU530" s="47" t="s">
        <v>57</v>
      </c>
    </row>
    <row r="531" spans="1:47">
      <c r="A531" s="4" t="s">
        <v>48</v>
      </c>
      <c r="C531" s="21"/>
      <c r="D531" s="22" t="s">
        <v>49</v>
      </c>
      <c r="G531" s="23">
        <v>45098</v>
      </c>
      <c r="H531" s="24" t="s">
        <v>1629</v>
      </c>
      <c r="J531" s="28" t="s">
        <v>51</v>
      </c>
      <c r="L531" s="24" t="s">
        <v>1630</v>
      </c>
      <c r="M531" s="1" t="str">
        <f>"142623197705134028"</f>
        <v>142623197705134028</v>
      </c>
      <c r="N531" s="24" t="s">
        <v>1630</v>
      </c>
      <c r="O531" s="1" t="str">
        <f>"142623197705134028"</f>
        <v>142623197705134028</v>
      </c>
      <c r="P531" s="23" t="s">
        <v>1631</v>
      </c>
      <c r="Q531" s="23">
        <v>45099</v>
      </c>
      <c r="R531" s="32">
        <v>45465</v>
      </c>
      <c r="V531" s="33">
        <v>300</v>
      </c>
      <c r="W531" s="28">
        <v>64.29</v>
      </c>
      <c r="X531" s="34" t="s">
        <v>54</v>
      </c>
      <c r="Y531" s="33">
        <v>192.87</v>
      </c>
      <c r="AC531" s="28">
        <v>64.29</v>
      </c>
      <c r="AD531" s="34" t="s">
        <v>54</v>
      </c>
      <c r="AE531" s="33">
        <v>192.87</v>
      </c>
      <c r="AN531" s="7" t="s">
        <v>54</v>
      </c>
      <c r="AO531" s="7" t="s">
        <v>55</v>
      </c>
      <c r="AP531" s="7" t="s">
        <v>56</v>
      </c>
      <c r="AT531" s="47" t="s">
        <v>57</v>
      </c>
      <c r="AU531" s="47" t="s">
        <v>57</v>
      </c>
    </row>
    <row r="532" spans="1:47">
      <c r="A532" s="4" t="s">
        <v>48</v>
      </c>
      <c r="C532" s="21"/>
      <c r="D532" s="22" t="s">
        <v>49</v>
      </c>
      <c r="G532" s="23">
        <v>45093</v>
      </c>
      <c r="H532" s="24" t="s">
        <v>1632</v>
      </c>
      <c r="J532" s="28" t="s">
        <v>51</v>
      </c>
      <c r="L532" s="24" t="s">
        <v>1633</v>
      </c>
      <c r="M532" s="1" t="str">
        <f>"341222199712232408"</f>
        <v>341222199712232408</v>
      </c>
      <c r="N532" s="24" t="s">
        <v>1633</v>
      </c>
      <c r="O532" s="1" t="str">
        <f>"341222199712232408"</f>
        <v>341222199712232408</v>
      </c>
      <c r="P532" s="23" t="s">
        <v>1634</v>
      </c>
      <c r="Q532" s="23">
        <v>45094</v>
      </c>
      <c r="R532" s="32">
        <v>45460</v>
      </c>
      <c r="V532" s="33">
        <v>300</v>
      </c>
      <c r="W532" s="28">
        <v>64.29</v>
      </c>
      <c r="X532" s="34" t="s">
        <v>54</v>
      </c>
      <c r="Y532" s="33">
        <v>192.87</v>
      </c>
      <c r="AC532" s="28">
        <v>64.29</v>
      </c>
      <c r="AD532" s="34" t="s">
        <v>54</v>
      </c>
      <c r="AE532" s="33">
        <v>192.87</v>
      </c>
      <c r="AN532" s="7" t="s">
        <v>54</v>
      </c>
      <c r="AO532" s="7" t="s">
        <v>55</v>
      </c>
      <c r="AP532" s="7" t="s">
        <v>56</v>
      </c>
      <c r="AT532" s="47" t="s">
        <v>57</v>
      </c>
      <c r="AU532" s="47" t="s">
        <v>57</v>
      </c>
    </row>
    <row r="533" spans="1:47">
      <c r="A533" s="4" t="s">
        <v>48</v>
      </c>
      <c r="C533" s="21"/>
      <c r="D533" s="22" t="s">
        <v>49</v>
      </c>
      <c r="G533" s="23">
        <v>45097</v>
      </c>
      <c r="H533" s="24" t="s">
        <v>1635</v>
      </c>
      <c r="J533" s="28" t="s">
        <v>51</v>
      </c>
      <c r="L533" s="24" t="s">
        <v>1636</v>
      </c>
      <c r="M533" s="1" t="str">
        <f>"341226198011026928"</f>
        <v>341226198011026928</v>
      </c>
      <c r="N533" s="24" t="s">
        <v>1636</v>
      </c>
      <c r="O533" s="1" t="str">
        <f>"341226198011026928"</f>
        <v>341226198011026928</v>
      </c>
      <c r="P533" s="23" t="s">
        <v>1637</v>
      </c>
      <c r="Q533" s="23">
        <v>45098</v>
      </c>
      <c r="R533" s="32">
        <v>45464</v>
      </c>
      <c r="V533" s="33">
        <v>50</v>
      </c>
      <c r="W533" s="28">
        <v>64.29</v>
      </c>
      <c r="X533" s="34" t="s">
        <v>54</v>
      </c>
      <c r="Y533" s="33">
        <v>32.15</v>
      </c>
      <c r="AC533" s="28">
        <v>64.29</v>
      </c>
      <c r="AD533" s="34" t="s">
        <v>54</v>
      </c>
      <c r="AE533" s="33">
        <v>32.15</v>
      </c>
      <c r="AN533" s="7" t="s">
        <v>54</v>
      </c>
      <c r="AO533" s="7" t="s">
        <v>55</v>
      </c>
      <c r="AP533" s="7" t="s">
        <v>56</v>
      </c>
      <c r="AT533" s="47" t="s">
        <v>57</v>
      </c>
      <c r="AU533" s="47" t="s">
        <v>57</v>
      </c>
    </row>
    <row r="534" spans="1:47">
      <c r="A534" s="4" t="s">
        <v>48</v>
      </c>
      <c r="C534" s="21"/>
      <c r="D534" s="22" t="s">
        <v>49</v>
      </c>
      <c r="G534" s="23">
        <v>45093</v>
      </c>
      <c r="H534" s="24" t="s">
        <v>1638</v>
      </c>
      <c r="J534" s="28" t="s">
        <v>51</v>
      </c>
      <c r="L534" s="24" t="s">
        <v>1639</v>
      </c>
      <c r="M534" s="1" t="str">
        <f>"342127197308204083"</f>
        <v>342127197308204083</v>
      </c>
      <c r="N534" s="24" t="s">
        <v>1639</v>
      </c>
      <c r="O534" s="1" t="str">
        <f>"342127197308204083"</f>
        <v>342127197308204083</v>
      </c>
      <c r="P534" s="23" t="s">
        <v>1640</v>
      </c>
      <c r="Q534" s="23">
        <v>45094</v>
      </c>
      <c r="R534" s="32">
        <v>45460</v>
      </c>
      <c r="V534" s="33">
        <v>50</v>
      </c>
      <c r="W534" s="28">
        <v>64.29</v>
      </c>
      <c r="X534" s="34" t="s">
        <v>54</v>
      </c>
      <c r="Y534" s="33">
        <v>32.15</v>
      </c>
      <c r="AC534" s="28">
        <v>64.29</v>
      </c>
      <c r="AD534" s="34" t="s">
        <v>54</v>
      </c>
      <c r="AE534" s="33">
        <v>32.15</v>
      </c>
      <c r="AN534" s="7" t="s">
        <v>54</v>
      </c>
      <c r="AO534" s="7" t="s">
        <v>55</v>
      </c>
      <c r="AP534" s="7" t="s">
        <v>56</v>
      </c>
      <c r="AT534" s="47" t="s">
        <v>57</v>
      </c>
      <c r="AU534" s="47" t="s">
        <v>57</v>
      </c>
    </row>
    <row r="535" spans="1:47">
      <c r="A535" s="4" t="s">
        <v>48</v>
      </c>
      <c r="C535" s="21"/>
      <c r="D535" s="22" t="s">
        <v>49</v>
      </c>
      <c r="G535" s="23">
        <v>45096</v>
      </c>
      <c r="H535" s="24" t="s">
        <v>1641</v>
      </c>
      <c r="J535" s="28" t="s">
        <v>51</v>
      </c>
      <c r="L535" s="24" t="s">
        <v>1642</v>
      </c>
      <c r="M535" s="1" t="str">
        <f>"341204195411060015"</f>
        <v>341204195411060015</v>
      </c>
      <c r="N535" s="24" t="s">
        <v>1642</v>
      </c>
      <c r="O535" s="1" t="str">
        <f>"341204195411060015"</f>
        <v>341204195411060015</v>
      </c>
      <c r="P535" s="23" t="s">
        <v>1643</v>
      </c>
      <c r="Q535" s="23">
        <v>45097</v>
      </c>
      <c r="R535" s="32">
        <v>45463</v>
      </c>
      <c r="V535" s="33">
        <v>50</v>
      </c>
      <c r="W535" s="28">
        <v>64.29</v>
      </c>
      <c r="X535" s="34" t="s">
        <v>54</v>
      </c>
      <c r="Y535" s="33">
        <v>32.15</v>
      </c>
      <c r="AC535" s="28">
        <v>64.29</v>
      </c>
      <c r="AD535" s="34" t="s">
        <v>54</v>
      </c>
      <c r="AE535" s="33">
        <v>32.15</v>
      </c>
      <c r="AN535" s="7" t="s">
        <v>54</v>
      </c>
      <c r="AO535" s="7" t="s">
        <v>55</v>
      </c>
      <c r="AP535" s="7" t="s">
        <v>56</v>
      </c>
      <c r="AT535" s="47" t="s">
        <v>57</v>
      </c>
      <c r="AU535" s="47" t="s">
        <v>57</v>
      </c>
    </row>
    <row r="536" spans="1:47">
      <c r="A536" s="4" t="s">
        <v>48</v>
      </c>
      <c r="C536" s="21"/>
      <c r="D536" s="22" t="s">
        <v>49</v>
      </c>
      <c r="G536" s="23">
        <v>45095</v>
      </c>
      <c r="H536" s="24" t="s">
        <v>1644</v>
      </c>
      <c r="J536" s="28" t="s">
        <v>51</v>
      </c>
      <c r="L536" s="24" t="s">
        <v>1645</v>
      </c>
      <c r="M536" s="1" t="str">
        <f>"341225198408146366"</f>
        <v>341225198408146366</v>
      </c>
      <c r="N536" s="24" t="s">
        <v>1645</v>
      </c>
      <c r="O536" s="1" t="str">
        <f>"341225198408146366"</f>
        <v>341225198408146366</v>
      </c>
      <c r="P536" s="23" t="s">
        <v>1646</v>
      </c>
      <c r="Q536" s="23">
        <v>45096</v>
      </c>
      <c r="R536" s="32">
        <v>45462</v>
      </c>
      <c r="V536" s="33">
        <v>50</v>
      </c>
      <c r="W536" s="28">
        <v>64.29</v>
      </c>
      <c r="X536" s="34" t="s">
        <v>54</v>
      </c>
      <c r="Y536" s="33">
        <v>32.15</v>
      </c>
      <c r="AC536" s="28">
        <v>64.29</v>
      </c>
      <c r="AD536" s="34" t="s">
        <v>54</v>
      </c>
      <c r="AE536" s="33">
        <v>32.15</v>
      </c>
      <c r="AN536" s="7" t="s">
        <v>54</v>
      </c>
      <c r="AO536" s="7" t="s">
        <v>55</v>
      </c>
      <c r="AP536" s="7" t="s">
        <v>56</v>
      </c>
      <c r="AT536" s="47" t="s">
        <v>57</v>
      </c>
      <c r="AU536" s="47" t="s">
        <v>57</v>
      </c>
    </row>
    <row r="537" spans="1:47">
      <c r="A537" s="4" t="s">
        <v>48</v>
      </c>
      <c r="C537" s="21"/>
      <c r="D537" s="22" t="s">
        <v>49</v>
      </c>
      <c r="G537" s="23">
        <v>45095</v>
      </c>
      <c r="H537" s="24" t="s">
        <v>1647</v>
      </c>
      <c r="J537" s="28" t="s">
        <v>51</v>
      </c>
      <c r="L537" s="24" t="s">
        <v>1648</v>
      </c>
      <c r="M537" s="1" t="str">
        <f>"230902198903281722"</f>
        <v>230902198903281722</v>
      </c>
      <c r="N537" s="24" t="s">
        <v>1648</v>
      </c>
      <c r="O537" s="1" t="str">
        <f>"230902198903281722"</f>
        <v>230902198903281722</v>
      </c>
      <c r="P537" s="23" t="s">
        <v>1649</v>
      </c>
      <c r="Q537" s="23">
        <v>45096</v>
      </c>
      <c r="R537" s="32">
        <v>45462</v>
      </c>
      <c r="V537" s="33">
        <v>50</v>
      </c>
      <c r="W537" s="28">
        <v>64.29</v>
      </c>
      <c r="X537" s="34" t="s">
        <v>54</v>
      </c>
      <c r="Y537" s="33">
        <v>32.15</v>
      </c>
      <c r="AC537" s="28">
        <v>64.29</v>
      </c>
      <c r="AD537" s="34" t="s">
        <v>54</v>
      </c>
      <c r="AE537" s="33">
        <v>32.15</v>
      </c>
      <c r="AN537" s="7" t="s">
        <v>54</v>
      </c>
      <c r="AO537" s="7" t="s">
        <v>55</v>
      </c>
      <c r="AP537" s="7" t="s">
        <v>56</v>
      </c>
      <c r="AT537" s="47" t="s">
        <v>57</v>
      </c>
      <c r="AU537" s="47" t="s">
        <v>57</v>
      </c>
    </row>
    <row r="538" spans="1:47">
      <c r="A538" s="4" t="s">
        <v>48</v>
      </c>
      <c r="C538" s="21"/>
      <c r="D538" s="22" t="s">
        <v>49</v>
      </c>
      <c r="G538" s="23">
        <v>45102</v>
      </c>
      <c r="H538" s="24" t="s">
        <v>1650</v>
      </c>
      <c r="J538" s="28" t="s">
        <v>51</v>
      </c>
      <c r="L538" s="24" t="s">
        <v>1651</v>
      </c>
      <c r="M538" s="1" t="str">
        <f>"341226199003162369"</f>
        <v>341226199003162369</v>
      </c>
      <c r="N538" s="24" t="s">
        <v>1651</v>
      </c>
      <c r="O538" s="1" t="str">
        <f>"341226199003162369"</f>
        <v>341226199003162369</v>
      </c>
      <c r="P538" s="23" t="s">
        <v>1652</v>
      </c>
      <c r="Q538" s="23">
        <v>45103</v>
      </c>
      <c r="R538" s="32">
        <v>45469</v>
      </c>
      <c r="V538" s="33">
        <v>100</v>
      </c>
      <c r="W538" s="28">
        <v>64.29</v>
      </c>
      <c r="X538" s="34" t="s">
        <v>54</v>
      </c>
      <c r="Y538" s="33">
        <v>64.29</v>
      </c>
      <c r="AC538" s="28">
        <v>64.29</v>
      </c>
      <c r="AD538" s="34" t="s">
        <v>54</v>
      </c>
      <c r="AE538" s="33">
        <v>64.29</v>
      </c>
      <c r="AN538" s="7" t="s">
        <v>54</v>
      </c>
      <c r="AO538" s="7" t="s">
        <v>55</v>
      </c>
      <c r="AP538" s="7" t="s">
        <v>56</v>
      </c>
      <c r="AT538" s="47" t="s">
        <v>57</v>
      </c>
      <c r="AU538" s="47" t="s">
        <v>57</v>
      </c>
    </row>
    <row r="539" spans="1:47">
      <c r="A539" s="4" t="s">
        <v>48</v>
      </c>
      <c r="C539" s="21"/>
      <c r="D539" s="22" t="s">
        <v>49</v>
      </c>
      <c r="G539" s="23">
        <v>45102</v>
      </c>
      <c r="H539" s="24" t="s">
        <v>1653</v>
      </c>
      <c r="J539" s="28" t="s">
        <v>51</v>
      </c>
      <c r="L539" s="24" t="s">
        <v>1654</v>
      </c>
      <c r="M539" s="1" t="str">
        <f>"342101195103100616"</f>
        <v>342101195103100616</v>
      </c>
      <c r="N539" s="24" t="s">
        <v>1654</v>
      </c>
      <c r="O539" s="1" t="str">
        <f>"342101195103100616"</f>
        <v>342101195103100616</v>
      </c>
      <c r="P539" s="23" t="s">
        <v>1655</v>
      </c>
      <c r="Q539" s="23">
        <v>45103</v>
      </c>
      <c r="R539" s="32">
        <v>45469</v>
      </c>
      <c r="V539" s="33">
        <v>100</v>
      </c>
      <c r="W539" s="28">
        <v>64.29</v>
      </c>
      <c r="X539" s="34" t="s">
        <v>54</v>
      </c>
      <c r="Y539" s="33">
        <v>64.29</v>
      </c>
      <c r="AC539" s="28">
        <v>64.29</v>
      </c>
      <c r="AD539" s="34" t="s">
        <v>54</v>
      </c>
      <c r="AE539" s="33">
        <v>64.29</v>
      </c>
      <c r="AN539" s="7" t="s">
        <v>54</v>
      </c>
      <c r="AO539" s="7" t="s">
        <v>55</v>
      </c>
      <c r="AP539" s="7" t="s">
        <v>56</v>
      </c>
      <c r="AT539" s="47" t="s">
        <v>57</v>
      </c>
      <c r="AU539" s="47" t="s">
        <v>57</v>
      </c>
    </row>
    <row r="540" spans="1:47">
      <c r="A540" s="4" t="s">
        <v>48</v>
      </c>
      <c r="C540" s="21"/>
      <c r="D540" s="22" t="s">
        <v>49</v>
      </c>
      <c r="G540" s="23">
        <v>45102</v>
      </c>
      <c r="H540" s="24" t="s">
        <v>1656</v>
      </c>
      <c r="J540" s="28" t="s">
        <v>51</v>
      </c>
      <c r="L540" s="24" t="s">
        <v>1657</v>
      </c>
      <c r="M540" s="1" t="str">
        <f>"341202198305152523"</f>
        <v>341202198305152523</v>
      </c>
      <c r="N540" s="24" t="s">
        <v>1657</v>
      </c>
      <c r="O540" s="1" t="str">
        <f>"341202198305152523"</f>
        <v>341202198305152523</v>
      </c>
      <c r="P540" s="23" t="s">
        <v>1658</v>
      </c>
      <c r="Q540" s="23">
        <v>45103</v>
      </c>
      <c r="R540" s="32">
        <v>45469</v>
      </c>
      <c r="V540" s="33">
        <v>100</v>
      </c>
      <c r="W540" s="28">
        <v>64.29</v>
      </c>
      <c r="X540" s="34" t="s">
        <v>54</v>
      </c>
      <c r="Y540" s="33">
        <v>64.29</v>
      </c>
      <c r="AC540" s="28">
        <v>64.29</v>
      </c>
      <c r="AD540" s="34" t="s">
        <v>54</v>
      </c>
      <c r="AE540" s="33">
        <v>64.29</v>
      </c>
      <c r="AN540" s="7" t="s">
        <v>54</v>
      </c>
      <c r="AO540" s="7" t="s">
        <v>55</v>
      </c>
      <c r="AP540" s="7" t="s">
        <v>56</v>
      </c>
      <c r="AT540" s="47" t="s">
        <v>57</v>
      </c>
      <c r="AU540" s="47" t="s">
        <v>57</v>
      </c>
    </row>
    <row r="541" spans="1:47">
      <c r="A541" s="4" t="s">
        <v>48</v>
      </c>
      <c r="C541" s="21"/>
      <c r="D541" s="22" t="s">
        <v>49</v>
      </c>
      <c r="G541" s="23">
        <v>45102</v>
      </c>
      <c r="H541" s="24" t="s">
        <v>1659</v>
      </c>
      <c r="J541" s="28" t="s">
        <v>51</v>
      </c>
      <c r="L541" s="24" t="s">
        <v>1660</v>
      </c>
      <c r="M541" s="1" t="str">
        <f>"341225198703048283"</f>
        <v>341225198703048283</v>
      </c>
      <c r="N541" s="24" t="s">
        <v>1660</v>
      </c>
      <c r="O541" s="1" t="str">
        <f>"341225198703048283"</f>
        <v>341225198703048283</v>
      </c>
      <c r="P541" s="23" t="s">
        <v>1661</v>
      </c>
      <c r="Q541" s="23">
        <v>45103</v>
      </c>
      <c r="R541" s="32">
        <v>45469</v>
      </c>
      <c r="V541" s="33">
        <v>100</v>
      </c>
      <c r="W541" s="28">
        <v>64.29</v>
      </c>
      <c r="X541" s="34" t="s">
        <v>54</v>
      </c>
      <c r="Y541" s="33">
        <v>64.29</v>
      </c>
      <c r="AC541" s="28">
        <v>64.29</v>
      </c>
      <c r="AD541" s="34" t="s">
        <v>54</v>
      </c>
      <c r="AE541" s="33">
        <v>64.29</v>
      </c>
      <c r="AN541" s="7" t="s">
        <v>54</v>
      </c>
      <c r="AO541" s="7" t="s">
        <v>55</v>
      </c>
      <c r="AP541" s="7" t="s">
        <v>56</v>
      </c>
      <c r="AT541" s="47" t="s">
        <v>57</v>
      </c>
      <c r="AU541" s="47" t="s">
        <v>57</v>
      </c>
    </row>
    <row r="542" spans="1:47">
      <c r="A542" s="4" t="s">
        <v>48</v>
      </c>
      <c r="C542" s="21"/>
      <c r="D542" s="22" t="s">
        <v>49</v>
      </c>
      <c r="G542" s="23">
        <v>45102</v>
      </c>
      <c r="H542" s="24" t="s">
        <v>1662</v>
      </c>
      <c r="J542" s="28" t="s">
        <v>51</v>
      </c>
      <c r="L542" s="24" t="s">
        <v>1663</v>
      </c>
      <c r="M542" s="1" t="str">
        <f>"340621199506031212"</f>
        <v>340621199506031212</v>
      </c>
      <c r="N542" s="24" t="s">
        <v>1663</v>
      </c>
      <c r="O542" s="1" t="str">
        <f>"340621199506031212"</f>
        <v>340621199506031212</v>
      </c>
      <c r="P542" s="23" t="s">
        <v>1664</v>
      </c>
      <c r="Q542" s="23">
        <v>45225</v>
      </c>
      <c r="R542" s="32">
        <v>45591</v>
      </c>
      <c r="V542" s="33">
        <v>100</v>
      </c>
      <c r="W542" s="28">
        <v>64.29</v>
      </c>
      <c r="X542" s="34" t="s">
        <v>54</v>
      </c>
      <c r="Y542" s="33">
        <v>64.29</v>
      </c>
      <c r="AC542" s="28">
        <v>64.29</v>
      </c>
      <c r="AD542" s="34" t="s">
        <v>54</v>
      </c>
      <c r="AE542" s="33">
        <v>64.29</v>
      </c>
      <c r="AN542" s="7" t="s">
        <v>54</v>
      </c>
      <c r="AO542" s="7" t="s">
        <v>55</v>
      </c>
      <c r="AP542" s="7" t="s">
        <v>56</v>
      </c>
      <c r="AT542" s="47" t="s">
        <v>57</v>
      </c>
      <c r="AU542" s="47" t="s">
        <v>57</v>
      </c>
    </row>
    <row r="543" spans="1:47">
      <c r="A543" s="4" t="s">
        <v>48</v>
      </c>
      <c r="C543" s="21"/>
      <c r="D543" s="22" t="s">
        <v>49</v>
      </c>
      <c r="G543" s="23">
        <v>45102</v>
      </c>
      <c r="H543" s="24" t="s">
        <v>1665</v>
      </c>
      <c r="J543" s="28" t="s">
        <v>51</v>
      </c>
      <c r="L543" s="24" t="s">
        <v>1666</v>
      </c>
      <c r="M543" s="1" t="str">
        <f>"120222198602045824"</f>
        <v>120222198602045824</v>
      </c>
      <c r="N543" s="24" t="s">
        <v>1666</v>
      </c>
      <c r="O543" s="1" t="str">
        <f>"120222198602045824"</f>
        <v>120222198602045824</v>
      </c>
      <c r="P543" s="23" t="s">
        <v>1667</v>
      </c>
      <c r="Q543" s="23">
        <v>45103</v>
      </c>
      <c r="R543" s="32">
        <v>45469</v>
      </c>
      <c r="V543" s="33">
        <v>100</v>
      </c>
      <c r="W543" s="28">
        <v>64.29</v>
      </c>
      <c r="X543" s="34" t="s">
        <v>54</v>
      </c>
      <c r="Y543" s="33">
        <v>64.29</v>
      </c>
      <c r="AC543" s="28">
        <v>64.29</v>
      </c>
      <c r="AD543" s="34" t="s">
        <v>54</v>
      </c>
      <c r="AE543" s="33">
        <v>64.29</v>
      </c>
      <c r="AN543" s="7" t="s">
        <v>54</v>
      </c>
      <c r="AO543" s="7" t="s">
        <v>55</v>
      </c>
      <c r="AP543" s="7" t="s">
        <v>56</v>
      </c>
      <c r="AT543" s="47" t="s">
        <v>57</v>
      </c>
      <c r="AU543" s="47" t="s">
        <v>57</v>
      </c>
    </row>
    <row r="544" spans="1:47">
      <c r="A544" s="4" t="s">
        <v>48</v>
      </c>
      <c r="C544" s="21"/>
      <c r="D544" s="22" t="s">
        <v>49</v>
      </c>
      <c r="G544" s="23">
        <v>45090</v>
      </c>
      <c r="H544" s="24" t="s">
        <v>1668</v>
      </c>
      <c r="J544" s="28" t="s">
        <v>51</v>
      </c>
      <c r="L544" s="24" t="s">
        <v>1669</v>
      </c>
      <c r="M544" s="1" t="str">
        <f>"342101195501272034"</f>
        <v>342101195501272034</v>
      </c>
      <c r="N544" s="24" t="s">
        <v>1669</v>
      </c>
      <c r="O544" s="1" t="str">
        <f>"342101195501272034"</f>
        <v>342101195501272034</v>
      </c>
      <c r="P544" s="23" t="s">
        <v>1670</v>
      </c>
      <c r="Q544" s="23">
        <v>45244</v>
      </c>
      <c r="R544" s="32">
        <v>45610</v>
      </c>
      <c r="V544" s="33">
        <v>100</v>
      </c>
      <c r="W544" s="28">
        <v>64.29</v>
      </c>
      <c r="X544" s="34" t="s">
        <v>54</v>
      </c>
      <c r="Y544" s="33">
        <v>64.29</v>
      </c>
      <c r="AC544" s="28">
        <v>64.29</v>
      </c>
      <c r="AD544" s="34" t="s">
        <v>54</v>
      </c>
      <c r="AE544" s="33">
        <v>64.29</v>
      </c>
      <c r="AN544" s="7" t="s">
        <v>54</v>
      </c>
      <c r="AO544" s="7" t="s">
        <v>55</v>
      </c>
      <c r="AP544" s="7" t="s">
        <v>56</v>
      </c>
      <c r="AT544" s="47" t="s">
        <v>57</v>
      </c>
      <c r="AU544" s="47" t="s">
        <v>57</v>
      </c>
    </row>
    <row r="545" spans="1:47">
      <c r="A545" s="4" t="s">
        <v>48</v>
      </c>
      <c r="C545" s="21"/>
      <c r="D545" s="22" t="s">
        <v>49</v>
      </c>
      <c r="G545" s="23">
        <v>45090</v>
      </c>
      <c r="H545" s="24" t="s">
        <v>1671</v>
      </c>
      <c r="J545" s="28" t="s">
        <v>51</v>
      </c>
      <c r="L545" s="24" t="s">
        <v>1672</v>
      </c>
      <c r="M545" s="1" t="str">
        <f>"34120219890715151X"</f>
        <v>34120219890715151X</v>
      </c>
      <c r="N545" s="24" t="s">
        <v>1672</v>
      </c>
      <c r="O545" s="1" t="str">
        <f>"34120219890715151X"</f>
        <v>34120219890715151X</v>
      </c>
      <c r="P545" s="23" t="s">
        <v>1673</v>
      </c>
      <c r="Q545" s="23">
        <v>45091</v>
      </c>
      <c r="R545" s="32">
        <v>45457</v>
      </c>
      <c r="V545" s="33">
        <v>100</v>
      </c>
      <c r="W545" s="28">
        <v>64.29</v>
      </c>
      <c r="X545" s="34" t="s">
        <v>54</v>
      </c>
      <c r="Y545" s="33">
        <v>64.29</v>
      </c>
      <c r="AC545" s="28">
        <v>64.29</v>
      </c>
      <c r="AD545" s="34" t="s">
        <v>54</v>
      </c>
      <c r="AE545" s="33">
        <v>64.29</v>
      </c>
      <c r="AN545" s="7" t="s">
        <v>54</v>
      </c>
      <c r="AO545" s="7" t="s">
        <v>55</v>
      </c>
      <c r="AP545" s="7" t="s">
        <v>56</v>
      </c>
      <c r="AT545" s="47" t="s">
        <v>57</v>
      </c>
      <c r="AU545" s="47" t="s">
        <v>57</v>
      </c>
    </row>
    <row r="546" spans="1:47">
      <c r="A546" s="4" t="s">
        <v>48</v>
      </c>
      <c r="C546" s="21"/>
      <c r="D546" s="22" t="s">
        <v>49</v>
      </c>
      <c r="G546" s="23">
        <v>45089</v>
      </c>
      <c r="H546" s="24" t="s">
        <v>1674</v>
      </c>
      <c r="J546" s="28" t="s">
        <v>51</v>
      </c>
      <c r="L546" s="24" t="s">
        <v>1675</v>
      </c>
      <c r="M546" s="1" t="str">
        <f>"342121195401040215"</f>
        <v>342121195401040215</v>
      </c>
      <c r="N546" s="24" t="s">
        <v>1675</v>
      </c>
      <c r="O546" s="1" t="str">
        <f>"342121195401040215"</f>
        <v>342121195401040215</v>
      </c>
      <c r="P546" s="23" t="s">
        <v>1676</v>
      </c>
      <c r="Q546" s="23">
        <v>45212</v>
      </c>
      <c r="R546" s="32">
        <v>45578</v>
      </c>
      <c r="V546" s="33">
        <v>100</v>
      </c>
      <c r="W546" s="28">
        <v>64.29</v>
      </c>
      <c r="X546" s="34" t="s">
        <v>54</v>
      </c>
      <c r="Y546" s="33">
        <v>64.29</v>
      </c>
      <c r="AC546" s="28">
        <v>64.29</v>
      </c>
      <c r="AD546" s="34" t="s">
        <v>54</v>
      </c>
      <c r="AE546" s="33">
        <v>64.29</v>
      </c>
      <c r="AN546" s="7" t="s">
        <v>54</v>
      </c>
      <c r="AO546" s="7" t="s">
        <v>55</v>
      </c>
      <c r="AP546" s="7" t="s">
        <v>56</v>
      </c>
      <c r="AT546" s="47" t="s">
        <v>57</v>
      </c>
      <c r="AU546" s="47" t="s">
        <v>57</v>
      </c>
    </row>
    <row r="547" spans="1:47">
      <c r="A547" s="4" t="s">
        <v>48</v>
      </c>
      <c r="C547" s="21"/>
      <c r="D547" s="22" t="s">
        <v>49</v>
      </c>
      <c r="G547" s="23">
        <v>45078</v>
      </c>
      <c r="H547" s="24" t="s">
        <v>1677</v>
      </c>
      <c r="J547" s="28" t="s">
        <v>51</v>
      </c>
      <c r="L547" s="24" t="s">
        <v>1678</v>
      </c>
      <c r="M547" s="1" t="str">
        <f>"34122519940118652X"</f>
        <v>34122519940118652X</v>
      </c>
      <c r="N547" s="24" t="s">
        <v>1678</v>
      </c>
      <c r="O547" s="1" t="str">
        <f>"34122519940118652X"</f>
        <v>34122519940118652X</v>
      </c>
      <c r="P547" s="23" t="s">
        <v>1679</v>
      </c>
      <c r="Q547" s="23">
        <v>45079</v>
      </c>
      <c r="R547" s="32">
        <v>45445</v>
      </c>
      <c r="V547" s="33">
        <v>100</v>
      </c>
      <c r="W547" s="28">
        <v>64.29</v>
      </c>
      <c r="X547" s="34" t="s">
        <v>54</v>
      </c>
      <c r="Y547" s="33">
        <v>64.29</v>
      </c>
      <c r="AC547" s="28">
        <v>64.29</v>
      </c>
      <c r="AD547" s="34" t="s">
        <v>54</v>
      </c>
      <c r="AE547" s="33">
        <v>64.29</v>
      </c>
      <c r="AN547" s="7" t="s">
        <v>54</v>
      </c>
      <c r="AO547" s="7" t="s">
        <v>55</v>
      </c>
      <c r="AP547" s="7" t="s">
        <v>56</v>
      </c>
      <c r="AT547" s="47" t="s">
        <v>57</v>
      </c>
      <c r="AU547" s="47" t="s">
        <v>57</v>
      </c>
    </row>
    <row r="548" spans="1:47">
      <c r="A548" s="4" t="s">
        <v>48</v>
      </c>
      <c r="C548" s="21"/>
      <c r="D548" s="22" t="s">
        <v>49</v>
      </c>
      <c r="G548" s="23">
        <v>45079</v>
      </c>
      <c r="H548" s="24" t="s">
        <v>1680</v>
      </c>
      <c r="J548" s="28" t="s">
        <v>51</v>
      </c>
      <c r="L548" s="24" t="s">
        <v>1681</v>
      </c>
      <c r="M548" s="1" t="str">
        <f>"341225199408165553"</f>
        <v>341225199408165553</v>
      </c>
      <c r="N548" s="24" t="s">
        <v>1681</v>
      </c>
      <c r="O548" s="1" t="str">
        <f>"341225199408165553"</f>
        <v>341225199408165553</v>
      </c>
      <c r="P548" s="23" t="s">
        <v>1682</v>
      </c>
      <c r="Q548" s="23">
        <v>45080</v>
      </c>
      <c r="R548" s="32">
        <v>45446</v>
      </c>
      <c r="V548" s="33">
        <v>100</v>
      </c>
      <c r="W548" s="28">
        <v>64.29</v>
      </c>
      <c r="X548" s="34" t="s">
        <v>54</v>
      </c>
      <c r="Y548" s="33">
        <v>64.29</v>
      </c>
      <c r="AC548" s="28">
        <v>64.29</v>
      </c>
      <c r="AD548" s="34" t="s">
        <v>54</v>
      </c>
      <c r="AE548" s="33">
        <v>64.29</v>
      </c>
      <c r="AN548" s="7" t="s">
        <v>54</v>
      </c>
      <c r="AO548" s="7" t="s">
        <v>55</v>
      </c>
      <c r="AP548" s="7" t="s">
        <v>56</v>
      </c>
      <c r="AT548" s="47" t="s">
        <v>57</v>
      </c>
      <c r="AU548" s="47" t="s">
        <v>57</v>
      </c>
    </row>
    <row r="549" spans="1:47">
      <c r="A549" s="4" t="s">
        <v>48</v>
      </c>
      <c r="C549" s="21"/>
      <c r="D549" s="22" t="s">
        <v>49</v>
      </c>
      <c r="G549" s="23">
        <v>45078</v>
      </c>
      <c r="H549" s="24" t="s">
        <v>1683</v>
      </c>
      <c r="J549" s="28" t="s">
        <v>51</v>
      </c>
      <c r="L549" s="24" t="s">
        <v>1684</v>
      </c>
      <c r="M549" s="1" t="str">
        <f>"341202199304182354"</f>
        <v>341202199304182354</v>
      </c>
      <c r="N549" s="24" t="s">
        <v>1684</v>
      </c>
      <c r="O549" s="1" t="str">
        <f>"341202199304182354"</f>
        <v>341202199304182354</v>
      </c>
      <c r="P549" s="23" t="s">
        <v>1685</v>
      </c>
      <c r="Q549" s="23">
        <v>45171</v>
      </c>
      <c r="R549" s="32">
        <v>45537</v>
      </c>
      <c r="V549" s="33">
        <v>100</v>
      </c>
      <c r="W549" s="28">
        <v>64.29</v>
      </c>
      <c r="X549" s="34" t="s">
        <v>54</v>
      </c>
      <c r="Y549" s="33">
        <v>64.29</v>
      </c>
      <c r="AC549" s="28">
        <v>64.29</v>
      </c>
      <c r="AD549" s="34" t="s">
        <v>54</v>
      </c>
      <c r="AE549" s="33">
        <v>64.29</v>
      </c>
      <c r="AN549" s="7" t="s">
        <v>54</v>
      </c>
      <c r="AO549" s="7" t="s">
        <v>55</v>
      </c>
      <c r="AP549" s="7" t="s">
        <v>56</v>
      </c>
      <c r="AT549" s="47" t="s">
        <v>57</v>
      </c>
      <c r="AU549" s="47" t="s">
        <v>57</v>
      </c>
    </row>
    <row r="550" spans="1:47">
      <c r="A550" s="4" t="s">
        <v>48</v>
      </c>
      <c r="C550" s="21"/>
      <c r="D550" s="22" t="s">
        <v>49</v>
      </c>
      <c r="G550" s="23">
        <v>45077</v>
      </c>
      <c r="H550" s="24" t="s">
        <v>1686</v>
      </c>
      <c r="J550" s="28" t="s">
        <v>51</v>
      </c>
      <c r="L550" s="24" t="s">
        <v>1687</v>
      </c>
      <c r="M550" s="1" t="str">
        <f>"120222199009225845"</f>
        <v>120222199009225845</v>
      </c>
      <c r="N550" s="24" t="s">
        <v>1687</v>
      </c>
      <c r="O550" s="1" t="str">
        <f>"120222199009225845"</f>
        <v>120222199009225845</v>
      </c>
      <c r="P550" s="23" t="s">
        <v>1688</v>
      </c>
      <c r="Q550" s="23">
        <v>45288</v>
      </c>
      <c r="R550" s="32">
        <v>45654</v>
      </c>
      <c r="V550" s="33">
        <v>100</v>
      </c>
      <c r="W550" s="28">
        <v>64.29</v>
      </c>
      <c r="X550" s="34" t="s">
        <v>54</v>
      </c>
      <c r="Y550" s="33">
        <v>64.29</v>
      </c>
      <c r="AC550" s="28">
        <v>64.29</v>
      </c>
      <c r="AD550" s="34" t="s">
        <v>54</v>
      </c>
      <c r="AE550" s="33">
        <v>64.29</v>
      </c>
      <c r="AN550" s="7" t="s">
        <v>54</v>
      </c>
      <c r="AO550" s="7" t="s">
        <v>55</v>
      </c>
      <c r="AP550" s="7" t="s">
        <v>56</v>
      </c>
      <c r="AT550" s="47" t="s">
        <v>57</v>
      </c>
      <c r="AU550" s="47" t="s">
        <v>57</v>
      </c>
    </row>
    <row r="551" spans="1:47">
      <c r="A551" s="4" t="s">
        <v>48</v>
      </c>
      <c r="C551" s="21"/>
      <c r="D551" s="22" t="s">
        <v>49</v>
      </c>
      <c r="G551" s="23">
        <v>45092</v>
      </c>
      <c r="H551" s="24" t="s">
        <v>1689</v>
      </c>
      <c r="J551" s="28" t="s">
        <v>51</v>
      </c>
      <c r="L551" s="24" t="s">
        <v>1690</v>
      </c>
      <c r="M551" s="1" t="str">
        <f>"341202198907030013"</f>
        <v>341202198907030013</v>
      </c>
      <c r="N551" s="24" t="s">
        <v>1690</v>
      </c>
      <c r="O551" s="1" t="str">
        <f>"341202198907030013"</f>
        <v>341202198907030013</v>
      </c>
      <c r="P551" s="23" t="s">
        <v>1691</v>
      </c>
      <c r="Q551" s="23">
        <v>45093</v>
      </c>
      <c r="R551" s="32">
        <v>45459</v>
      </c>
      <c r="V551" s="33">
        <v>300</v>
      </c>
      <c r="W551" s="28">
        <v>64.29</v>
      </c>
      <c r="X551" s="34" t="s">
        <v>54</v>
      </c>
      <c r="Y551" s="33">
        <v>192.87</v>
      </c>
      <c r="AC551" s="28">
        <v>64.29</v>
      </c>
      <c r="AD551" s="34" t="s">
        <v>54</v>
      </c>
      <c r="AE551" s="33">
        <v>192.87</v>
      </c>
      <c r="AN551" s="7" t="s">
        <v>54</v>
      </c>
      <c r="AO551" s="7" t="s">
        <v>55</v>
      </c>
      <c r="AP551" s="7" t="s">
        <v>56</v>
      </c>
      <c r="AT551" s="47" t="s">
        <v>57</v>
      </c>
      <c r="AU551" s="47" t="s">
        <v>57</v>
      </c>
    </row>
    <row r="552" spans="1:47">
      <c r="A552" s="4" t="s">
        <v>48</v>
      </c>
      <c r="C552" s="21"/>
      <c r="D552" s="22" t="s">
        <v>49</v>
      </c>
      <c r="G552" s="23">
        <v>45091</v>
      </c>
      <c r="H552" s="24" t="s">
        <v>1692</v>
      </c>
      <c r="J552" s="28" t="s">
        <v>51</v>
      </c>
      <c r="L552" s="24" t="s">
        <v>1693</v>
      </c>
      <c r="M552" s="1" t="str">
        <f>"341203198912180944"</f>
        <v>341203198912180944</v>
      </c>
      <c r="N552" s="24" t="s">
        <v>1693</v>
      </c>
      <c r="O552" s="1" t="str">
        <f>"341203198912180944"</f>
        <v>341203198912180944</v>
      </c>
      <c r="P552" s="23" t="s">
        <v>1694</v>
      </c>
      <c r="Q552" s="23">
        <v>45153</v>
      </c>
      <c r="R552" s="32">
        <v>45519</v>
      </c>
      <c r="V552" s="33">
        <v>300</v>
      </c>
      <c r="W552" s="28">
        <v>64.29</v>
      </c>
      <c r="X552" s="34" t="s">
        <v>54</v>
      </c>
      <c r="Y552" s="33">
        <v>192.87</v>
      </c>
      <c r="AC552" s="28">
        <v>64.29</v>
      </c>
      <c r="AD552" s="34" t="s">
        <v>54</v>
      </c>
      <c r="AE552" s="33">
        <v>192.87</v>
      </c>
      <c r="AN552" s="7" t="s">
        <v>54</v>
      </c>
      <c r="AO552" s="7" t="s">
        <v>55</v>
      </c>
      <c r="AP552" s="7" t="s">
        <v>56</v>
      </c>
      <c r="AT552" s="47" t="s">
        <v>57</v>
      </c>
      <c r="AU552" s="47" t="s">
        <v>57</v>
      </c>
    </row>
    <row r="553" spans="1:47">
      <c r="A553" s="4" t="s">
        <v>48</v>
      </c>
      <c r="C553" s="21"/>
      <c r="D553" s="22" t="s">
        <v>49</v>
      </c>
      <c r="G553" s="23">
        <v>45086</v>
      </c>
      <c r="H553" s="24" t="s">
        <v>1695</v>
      </c>
      <c r="J553" s="28" t="s">
        <v>51</v>
      </c>
      <c r="L553" s="24" t="s">
        <v>1696</v>
      </c>
      <c r="M553" s="1" t="str">
        <f>"341203199104024446"</f>
        <v>341203199104024446</v>
      </c>
      <c r="N553" s="24" t="s">
        <v>1696</v>
      </c>
      <c r="O553" s="1" t="str">
        <f>"341203199104024446"</f>
        <v>341203199104024446</v>
      </c>
      <c r="P553" s="23" t="s">
        <v>1697</v>
      </c>
      <c r="Q553" s="23">
        <v>45087</v>
      </c>
      <c r="R553" s="32">
        <v>45453</v>
      </c>
      <c r="V553" s="33">
        <v>300</v>
      </c>
      <c r="W553" s="28">
        <v>64.29</v>
      </c>
      <c r="X553" s="34" t="s">
        <v>54</v>
      </c>
      <c r="Y553" s="33">
        <v>192.87</v>
      </c>
      <c r="AC553" s="28">
        <v>64.29</v>
      </c>
      <c r="AD553" s="34" t="s">
        <v>54</v>
      </c>
      <c r="AE553" s="33">
        <v>192.87</v>
      </c>
      <c r="AN553" s="7" t="s">
        <v>54</v>
      </c>
      <c r="AO553" s="7" t="s">
        <v>55</v>
      </c>
      <c r="AP553" s="7" t="s">
        <v>56</v>
      </c>
      <c r="AT553" s="47" t="s">
        <v>57</v>
      </c>
      <c r="AU553" s="47" t="s">
        <v>57</v>
      </c>
    </row>
    <row r="554" spans="1:47">
      <c r="A554" s="4" t="s">
        <v>48</v>
      </c>
      <c r="C554" s="21"/>
      <c r="D554" s="22" t="s">
        <v>49</v>
      </c>
      <c r="G554" s="23">
        <v>45093</v>
      </c>
      <c r="H554" s="24" t="s">
        <v>1698</v>
      </c>
      <c r="J554" s="28" t="s">
        <v>51</v>
      </c>
      <c r="L554" s="24" t="s">
        <v>1699</v>
      </c>
      <c r="M554" s="1" t="str">
        <f>"341202199006152712"</f>
        <v>341202199006152712</v>
      </c>
      <c r="N554" s="24" t="s">
        <v>1699</v>
      </c>
      <c r="O554" s="1" t="str">
        <f>"341202199006152712"</f>
        <v>341202199006152712</v>
      </c>
      <c r="P554" s="23" t="s">
        <v>1700</v>
      </c>
      <c r="Q554" s="23">
        <v>45094</v>
      </c>
      <c r="R554" s="32">
        <v>45460</v>
      </c>
      <c r="V554" s="33">
        <v>50</v>
      </c>
      <c r="W554" s="28">
        <v>64.29</v>
      </c>
      <c r="X554" s="34" t="s">
        <v>54</v>
      </c>
      <c r="Y554" s="33">
        <v>32.15</v>
      </c>
      <c r="AC554" s="28">
        <v>64.29</v>
      </c>
      <c r="AD554" s="34" t="s">
        <v>54</v>
      </c>
      <c r="AE554" s="33">
        <v>32.15</v>
      </c>
      <c r="AN554" s="7" t="s">
        <v>54</v>
      </c>
      <c r="AO554" s="7" t="s">
        <v>55</v>
      </c>
      <c r="AP554" s="7" t="s">
        <v>56</v>
      </c>
      <c r="AT554" s="47" t="s">
        <v>57</v>
      </c>
      <c r="AU554" s="47" t="s">
        <v>57</v>
      </c>
    </row>
    <row r="555" spans="1:47">
      <c r="A555" s="4" t="s">
        <v>48</v>
      </c>
      <c r="C555" s="21"/>
      <c r="D555" s="22" t="s">
        <v>49</v>
      </c>
      <c r="G555" s="23">
        <v>45093</v>
      </c>
      <c r="H555" s="24" t="s">
        <v>1701</v>
      </c>
      <c r="J555" s="28" t="s">
        <v>51</v>
      </c>
      <c r="L555" s="24" t="s">
        <v>1702</v>
      </c>
      <c r="M555" s="1" t="str">
        <f>"341203199302234022"</f>
        <v>341203199302234022</v>
      </c>
      <c r="N555" s="24" t="s">
        <v>1702</v>
      </c>
      <c r="O555" s="1" t="str">
        <f>"341203199302234022"</f>
        <v>341203199302234022</v>
      </c>
      <c r="P555" s="23" t="s">
        <v>1703</v>
      </c>
      <c r="Q555" s="23">
        <v>45094</v>
      </c>
      <c r="R555" s="32">
        <v>45460</v>
      </c>
      <c r="V555" s="33">
        <v>50</v>
      </c>
      <c r="W555" s="28">
        <v>64.29</v>
      </c>
      <c r="X555" s="34" t="s">
        <v>54</v>
      </c>
      <c r="Y555" s="33">
        <v>32.15</v>
      </c>
      <c r="AC555" s="28">
        <v>64.29</v>
      </c>
      <c r="AD555" s="34" t="s">
        <v>54</v>
      </c>
      <c r="AE555" s="33">
        <v>32.15</v>
      </c>
      <c r="AN555" s="7" t="s">
        <v>54</v>
      </c>
      <c r="AO555" s="7" t="s">
        <v>55</v>
      </c>
      <c r="AP555" s="7" t="s">
        <v>56</v>
      </c>
      <c r="AT555" s="47" t="s">
        <v>57</v>
      </c>
      <c r="AU555" s="47" t="s">
        <v>57</v>
      </c>
    </row>
    <row r="556" spans="1:47">
      <c r="A556" s="4" t="s">
        <v>48</v>
      </c>
      <c r="C556" s="21"/>
      <c r="D556" s="22" t="s">
        <v>49</v>
      </c>
      <c r="G556" s="23">
        <v>45094</v>
      </c>
      <c r="H556" s="24" t="s">
        <v>1704</v>
      </c>
      <c r="J556" s="28" t="s">
        <v>51</v>
      </c>
      <c r="L556" s="24" t="s">
        <v>1705</v>
      </c>
      <c r="M556" s="1" t="str">
        <f>"341203198903174083"</f>
        <v>341203198903174083</v>
      </c>
      <c r="N556" s="24" t="s">
        <v>1705</v>
      </c>
      <c r="O556" s="1" t="str">
        <f>"341203198903174083"</f>
        <v>341203198903174083</v>
      </c>
      <c r="P556" s="23" t="s">
        <v>1706</v>
      </c>
      <c r="Q556" s="23">
        <v>45095</v>
      </c>
      <c r="R556" s="32">
        <v>45461</v>
      </c>
      <c r="V556" s="33">
        <v>50</v>
      </c>
      <c r="W556" s="28">
        <v>64.29</v>
      </c>
      <c r="X556" s="34" t="s">
        <v>54</v>
      </c>
      <c r="Y556" s="33">
        <v>32.15</v>
      </c>
      <c r="AC556" s="28">
        <v>64.29</v>
      </c>
      <c r="AD556" s="34" t="s">
        <v>54</v>
      </c>
      <c r="AE556" s="33">
        <v>32.15</v>
      </c>
      <c r="AN556" s="7" t="s">
        <v>54</v>
      </c>
      <c r="AO556" s="7" t="s">
        <v>55</v>
      </c>
      <c r="AP556" s="7" t="s">
        <v>56</v>
      </c>
      <c r="AT556" s="47" t="s">
        <v>57</v>
      </c>
      <c r="AU556" s="47" t="s">
        <v>57</v>
      </c>
    </row>
    <row r="557" spans="1:47">
      <c r="A557" s="4" t="s">
        <v>48</v>
      </c>
      <c r="C557" s="21"/>
      <c r="D557" s="22" t="s">
        <v>49</v>
      </c>
      <c r="G557" s="23">
        <v>45093</v>
      </c>
      <c r="H557" s="24" t="s">
        <v>1707</v>
      </c>
      <c r="J557" s="28" t="s">
        <v>51</v>
      </c>
      <c r="L557" s="24" t="s">
        <v>1708</v>
      </c>
      <c r="M557" s="1" t="str">
        <f>"120224198512176217"</f>
        <v>120224198512176217</v>
      </c>
      <c r="N557" s="24" t="s">
        <v>1708</v>
      </c>
      <c r="O557" s="1" t="str">
        <f>"120224198512176217"</f>
        <v>120224198512176217</v>
      </c>
      <c r="P557" s="23" t="s">
        <v>1709</v>
      </c>
      <c r="Q557" s="23">
        <v>45094</v>
      </c>
      <c r="R557" s="32">
        <v>45460</v>
      </c>
      <c r="V557" s="33">
        <v>50</v>
      </c>
      <c r="W557" s="28">
        <v>64.29</v>
      </c>
      <c r="X557" s="34" t="s">
        <v>54</v>
      </c>
      <c r="Y557" s="33">
        <v>32.15</v>
      </c>
      <c r="AC557" s="28">
        <v>64.29</v>
      </c>
      <c r="AD557" s="34" t="s">
        <v>54</v>
      </c>
      <c r="AE557" s="33">
        <v>32.15</v>
      </c>
      <c r="AN557" s="7" t="s">
        <v>54</v>
      </c>
      <c r="AO557" s="7" t="s">
        <v>55</v>
      </c>
      <c r="AP557" s="7" t="s">
        <v>56</v>
      </c>
      <c r="AT557" s="47" t="s">
        <v>57</v>
      </c>
      <c r="AU557" s="47" t="s">
        <v>57</v>
      </c>
    </row>
    <row r="558" spans="1:47">
      <c r="A558" s="4" t="s">
        <v>48</v>
      </c>
      <c r="C558" s="21"/>
      <c r="D558" s="22" t="s">
        <v>49</v>
      </c>
      <c r="G558" s="23">
        <v>45095</v>
      </c>
      <c r="H558" s="24" t="s">
        <v>1710</v>
      </c>
      <c r="J558" s="28" t="s">
        <v>51</v>
      </c>
      <c r="L558" s="24" t="s">
        <v>1711</v>
      </c>
      <c r="M558" s="1" t="str">
        <f>"132823197101123415"</f>
        <v>132823197101123415</v>
      </c>
      <c r="N558" s="24" t="s">
        <v>1711</v>
      </c>
      <c r="O558" s="1" t="str">
        <f>"132823197101123415"</f>
        <v>132823197101123415</v>
      </c>
      <c r="P558" s="23" t="s">
        <v>1712</v>
      </c>
      <c r="Q558" s="23">
        <v>45096</v>
      </c>
      <c r="R558" s="32">
        <v>45462</v>
      </c>
      <c r="V558" s="33">
        <v>50</v>
      </c>
      <c r="W558" s="28">
        <v>64.29</v>
      </c>
      <c r="X558" s="34" t="s">
        <v>54</v>
      </c>
      <c r="Y558" s="33">
        <v>32.15</v>
      </c>
      <c r="AC558" s="28">
        <v>64.29</v>
      </c>
      <c r="AD558" s="34" t="s">
        <v>54</v>
      </c>
      <c r="AE558" s="33">
        <v>32.15</v>
      </c>
      <c r="AN558" s="7" t="s">
        <v>54</v>
      </c>
      <c r="AO558" s="7" t="s">
        <v>55</v>
      </c>
      <c r="AP558" s="7" t="s">
        <v>56</v>
      </c>
      <c r="AT558" s="47" t="s">
        <v>57</v>
      </c>
      <c r="AU558" s="47" t="s">
        <v>57</v>
      </c>
    </row>
    <row r="559" spans="1:47">
      <c r="A559" s="4" t="s">
        <v>48</v>
      </c>
      <c r="C559" s="21"/>
      <c r="D559" s="22" t="s">
        <v>49</v>
      </c>
      <c r="G559" s="23">
        <v>45092</v>
      </c>
      <c r="H559" s="24" t="s">
        <v>1713</v>
      </c>
      <c r="J559" s="28" t="s">
        <v>51</v>
      </c>
      <c r="L559" s="24" t="s">
        <v>1714</v>
      </c>
      <c r="M559" s="1" t="str">
        <f>"132823197003060019"</f>
        <v>132823197003060019</v>
      </c>
      <c r="N559" s="24" t="s">
        <v>1714</v>
      </c>
      <c r="O559" s="1" t="str">
        <f>"132823197003060019"</f>
        <v>132823197003060019</v>
      </c>
      <c r="P559" s="23" t="s">
        <v>1715</v>
      </c>
      <c r="Q559" s="23">
        <v>45093</v>
      </c>
      <c r="R559" s="32">
        <v>45459</v>
      </c>
      <c r="V559" s="33">
        <v>50</v>
      </c>
      <c r="W559" s="28">
        <v>64.29</v>
      </c>
      <c r="X559" s="34" t="s">
        <v>54</v>
      </c>
      <c r="Y559" s="33">
        <v>32.15</v>
      </c>
      <c r="AC559" s="28">
        <v>64.29</v>
      </c>
      <c r="AD559" s="34" t="s">
        <v>54</v>
      </c>
      <c r="AE559" s="33">
        <v>32.15</v>
      </c>
      <c r="AN559" s="7" t="s">
        <v>54</v>
      </c>
      <c r="AO559" s="7" t="s">
        <v>55</v>
      </c>
      <c r="AP559" s="7" t="s">
        <v>56</v>
      </c>
      <c r="AT559" s="47" t="s">
        <v>57</v>
      </c>
      <c r="AU559" s="47" t="s">
        <v>57</v>
      </c>
    </row>
    <row r="560" spans="1:47">
      <c r="A560" s="4" t="s">
        <v>48</v>
      </c>
      <c r="C560" s="21"/>
      <c r="D560" s="22" t="s">
        <v>49</v>
      </c>
      <c r="G560" s="23">
        <v>45092</v>
      </c>
      <c r="H560" s="24" t="s">
        <v>1716</v>
      </c>
      <c r="J560" s="28" t="s">
        <v>51</v>
      </c>
      <c r="L560" s="24" t="s">
        <v>1717</v>
      </c>
      <c r="M560" s="1" t="str">
        <f>"341203199503064437"</f>
        <v>341203199503064437</v>
      </c>
      <c r="N560" s="24" t="s">
        <v>1717</v>
      </c>
      <c r="O560" s="1" t="str">
        <f>"341203199503064437"</f>
        <v>341203199503064437</v>
      </c>
      <c r="P560" s="23" t="s">
        <v>1718</v>
      </c>
      <c r="Q560" s="23">
        <v>45093</v>
      </c>
      <c r="R560" s="32">
        <v>45459</v>
      </c>
      <c r="V560" s="33">
        <v>50</v>
      </c>
      <c r="W560" s="28">
        <v>64.29</v>
      </c>
      <c r="X560" s="34" t="s">
        <v>54</v>
      </c>
      <c r="Y560" s="33">
        <v>32.15</v>
      </c>
      <c r="AC560" s="28">
        <v>64.29</v>
      </c>
      <c r="AD560" s="34" t="s">
        <v>54</v>
      </c>
      <c r="AE560" s="33">
        <v>32.15</v>
      </c>
      <c r="AN560" s="7" t="s">
        <v>54</v>
      </c>
      <c r="AO560" s="7" t="s">
        <v>55</v>
      </c>
      <c r="AP560" s="7" t="s">
        <v>56</v>
      </c>
      <c r="AT560" s="47" t="s">
        <v>57</v>
      </c>
      <c r="AU560" s="47" t="s">
        <v>57</v>
      </c>
    </row>
    <row r="561" spans="1:47">
      <c r="A561" s="4" t="s">
        <v>48</v>
      </c>
      <c r="C561" s="21"/>
      <c r="D561" s="22" t="s">
        <v>49</v>
      </c>
      <c r="G561" s="23">
        <v>45092</v>
      </c>
      <c r="H561" s="24" t="s">
        <v>1719</v>
      </c>
      <c r="J561" s="28" t="s">
        <v>51</v>
      </c>
      <c r="L561" s="24" t="s">
        <v>1720</v>
      </c>
      <c r="M561" s="1" t="str">
        <f>"341203199303090016"</f>
        <v>341203199303090016</v>
      </c>
      <c r="N561" s="24" t="s">
        <v>1720</v>
      </c>
      <c r="O561" s="1" t="str">
        <f>"341203199303090016"</f>
        <v>341203199303090016</v>
      </c>
      <c r="P561" s="23" t="s">
        <v>1721</v>
      </c>
      <c r="Q561" s="23">
        <v>45093</v>
      </c>
      <c r="R561" s="32">
        <v>45459</v>
      </c>
      <c r="V561" s="33">
        <v>50</v>
      </c>
      <c r="W561" s="28">
        <v>64.29</v>
      </c>
      <c r="X561" s="34" t="s">
        <v>54</v>
      </c>
      <c r="Y561" s="33">
        <v>32.15</v>
      </c>
      <c r="AC561" s="28">
        <v>64.29</v>
      </c>
      <c r="AD561" s="34" t="s">
        <v>54</v>
      </c>
      <c r="AE561" s="33">
        <v>32.15</v>
      </c>
      <c r="AN561" s="7" t="s">
        <v>54</v>
      </c>
      <c r="AO561" s="7" t="s">
        <v>55</v>
      </c>
      <c r="AP561" s="7" t="s">
        <v>56</v>
      </c>
      <c r="AT561" s="47" t="s">
        <v>57</v>
      </c>
      <c r="AU561" s="47" t="s">
        <v>57</v>
      </c>
    </row>
    <row r="562" spans="1:47">
      <c r="A562" s="4" t="s">
        <v>48</v>
      </c>
      <c r="C562" s="21"/>
      <c r="D562" s="22" t="s">
        <v>49</v>
      </c>
      <c r="G562" s="23">
        <v>45092</v>
      </c>
      <c r="H562" s="24" t="s">
        <v>1722</v>
      </c>
      <c r="J562" s="28" t="s">
        <v>51</v>
      </c>
      <c r="L562" s="24" t="s">
        <v>189</v>
      </c>
      <c r="M562" s="1" t="str">
        <f>"341226198511171929"</f>
        <v>341226198511171929</v>
      </c>
      <c r="N562" s="24" t="s">
        <v>189</v>
      </c>
      <c r="O562" s="1" t="str">
        <f>"341226198511171929"</f>
        <v>341226198511171929</v>
      </c>
      <c r="P562" s="23" t="s">
        <v>1723</v>
      </c>
      <c r="Q562" s="23">
        <v>45093</v>
      </c>
      <c r="R562" s="32">
        <v>45459</v>
      </c>
      <c r="V562" s="33">
        <v>50</v>
      </c>
      <c r="W562" s="28">
        <v>64.29</v>
      </c>
      <c r="X562" s="34" t="s">
        <v>54</v>
      </c>
      <c r="Y562" s="33">
        <v>32.15</v>
      </c>
      <c r="AC562" s="28">
        <v>64.29</v>
      </c>
      <c r="AD562" s="34" t="s">
        <v>54</v>
      </c>
      <c r="AE562" s="33">
        <v>32.15</v>
      </c>
      <c r="AN562" s="7" t="s">
        <v>54</v>
      </c>
      <c r="AO562" s="7" t="s">
        <v>55</v>
      </c>
      <c r="AP562" s="7" t="s">
        <v>56</v>
      </c>
      <c r="AT562" s="47" t="s">
        <v>57</v>
      </c>
      <c r="AU562" s="47" t="s">
        <v>57</v>
      </c>
    </row>
    <row r="563" spans="1:47">
      <c r="A563" s="4" t="s">
        <v>48</v>
      </c>
      <c r="C563" s="21"/>
      <c r="D563" s="22" t="s">
        <v>49</v>
      </c>
      <c r="G563" s="23">
        <v>45089</v>
      </c>
      <c r="H563" s="24" t="s">
        <v>1724</v>
      </c>
      <c r="J563" s="28" t="s">
        <v>51</v>
      </c>
      <c r="L563" s="24" t="s">
        <v>1725</v>
      </c>
      <c r="M563" s="1" t="str">
        <f>"13282519730220242X"</f>
        <v>13282519730220242X</v>
      </c>
      <c r="N563" s="24" t="s">
        <v>1725</v>
      </c>
      <c r="O563" s="1" t="str">
        <f>"13282519730220242X"</f>
        <v>13282519730220242X</v>
      </c>
      <c r="P563" s="23" t="s">
        <v>1726</v>
      </c>
      <c r="Q563" s="23">
        <v>45090</v>
      </c>
      <c r="R563" s="32">
        <v>45456</v>
      </c>
      <c r="V563" s="33">
        <v>50</v>
      </c>
      <c r="W563" s="28">
        <v>64.29</v>
      </c>
      <c r="X563" s="34" t="s">
        <v>54</v>
      </c>
      <c r="Y563" s="33">
        <v>32.15</v>
      </c>
      <c r="AC563" s="28">
        <v>64.29</v>
      </c>
      <c r="AD563" s="34" t="s">
        <v>54</v>
      </c>
      <c r="AE563" s="33">
        <v>32.15</v>
      </c>
      <c r="AN563" s="7" t="s">
        <v>54</v>
      </c>
      <c r="AO563" s="7" t="s">
        <v>55</v>
      </c>
      <c r="AP563" s="7" t="s">
        <v>56</v>
      </c>
      <c r="AT563" s="47" t="s">
        <v>57</v>
      </c>
      <c r="AU563" s="47" t="s">
        <v>57</v>
      </c>
    </row>
    <row r="564" spans="1:47">
      <c r="A564" s="4" t="s">
        <v>48</v>
      </c>
      <c r="C564" s="21"/>
      <c r="D564" s="22" t="s">
        <v>49</v>
      </c>
      <c r="G564" s="23">
        <v>45102</v>
      </c>
      <c r="H564" s="24" t="s">
        <v>1727</v>
      </c>
      <c r="J564" s="28" t="s">
        <v>51</v>
      </c>
      <c r="L564" s="24" t="s">
        <v>1728</v>
      </c>
      <c r="M564" s="1" t="str">
        <f>"34212219690713042X"</f>
        <v>34212219690713042X</v>
      </c>
      <c r="N564" s="24" t="s">
        <v>1728</v>
      </c>
      <c r="O564" s="1" t="str">
        <f>"34212219690713042X"</f>
        <v>34212219690713042X</v>
      </c>
      <c r="P564" s="23" t="s">
        <v>1729</v>
      </c>
      <c r="Q564" s="23">
        <v>45103</v>
      </c>
      <c r="R564" s="32">
        <v>45469</v>
      </c>
      <c r="V564" s="33">
        <v>100</v>
      </c>
      <c r="W564" s="28">
        <v>64.29</v>
      </c>
      <c r="X564" s="34" t="s">
        <v>54</v>
      </c>
      <c r="Y564" s="33">
        <v>64.29</v>
      </c>
      <c r="AC564" s="28">
        <v>64.29</v>
      </c>
      <c r="AD564" s="34" t="s">
        <v>54</v>
      </c>
      <c r="AE564" s="33">
        <v>64.29</v>
      </c>
      <c r="AN564" s="7" t="s">
        <v>54</v>
      </c>
      <c r="AO564" s="7" t="s">
        <v>55</v>
      </c>
      <c r="AP564" s="7" t="s">
        <v>56</v>
      </c>
      <c r="AT564" s="47" t="s">
        <v>57</v>
      </c>
      <c r="AU564" s="47" t="s">
        <v>57</v>
      </c>
    </row>
    <row r="565" spans="1:47">
      <c r="A565" s="4" t="s">
        <v>48</v>
      </c>
      <c r="C565" s="21"/>
      <c r="D565" s="22" t="s">
        <v>49</v>
      </c>
      <c r="G565" s="23">
        <v>45102</v>
      </c>
      <c r="H565" s="24" t="s">
        <v>1730</v>
      </c>
      <c r="J565" s="28" t="s">
        <v>51</v>
      </c>
      <c r="L565" s="24" t="s">
        <v>1731</v>
      </c>
      <c r="M565" s="1" t="str">
        <f>"120222198210054019"</f>
        <v>120222198210054019</v>
      </c>
      <c r="N565" s="24" t="s">
        <v>1731</v>
      </c>
      <c r="O565" s="1" t="str">
        <f>"120222198210054019"</f>
        <v>120222198210054019</v>
      </c>
      <c r="P565" s="23" t="s">
        <v>1732</v>
      </c>
      <c r="Q565" s="23">
        <v>45103</v>
      </c>
      <c r="R565" s="32">
        <v>45469</v>
      </c>
      <c r="V565" s="33">
        <v>100</v>
      </c>
      <c r="W565" s="28">
        <v>64.29</v>
      </c>
      <c r="X565" s="34" t="s">
        <v>54</v>
      </c>
      <c r="Y565" s="33">
        <v>64.29</v>
      </c>
      <c r="AC565" s="28">
        <v>64.29</v>
      </c>
      <c r="AD565" s="34" t="s">
        <v>54</v>
      </c>
      <c r="AE565" s="33">
        <v>64.29</v>
      </c>
      <c r="AN565" s="7" t="s">
        <v>54</v>
      </c>
      <c r="AO565" s="7" t="s">
        <v>55</v>
      </c>
      <c r="AP565" s="7" t="s">
        <v>56</v>
      </c>
      <c r="AT565" s="47" t="s">
        <v>57</v>
      </c>
      <c r="AU565" s="47" t="s">
        <v>57</v>
      </c>
    </row>
    <row r="566" spans="1:47">
      <c r="A566" s="4" t="s">
        <v>48</v>
      </c>
      <c r="C566" s="21"/>
      <c r="D566" s="22" t="s">
        <v>49</v>
      </c>
      <c r="G566" s="23">
        <v>45102</v>
      </c>
      <c r="H566" s="24" t="s">
        <v>1733</v>
      </c>
      <c r="J566" s="28" t="s">
        <v>51</v>
      </c>
      <c r="L566" s="24" t="s">
        <v>1734</v>
      </c>
      <c r="M566" s="1" t="str">
        <f>"341221198803183145"</f>
        <v>341221198803183145</v>
      </c>
      <c r="N566" s="24" t="s">
        <v>1734</v>
      </c>
      <c r="O566" s="1" t="str">
        <f>"341221198803183145"</f>
        <v>341221198803183145</v>
      </c>
      <c r="P566" s="23" t="s">
        <v>1735</v>
      </c>
      <c r="Q566" s="23">
        <v>45103</v>
      </c>
      <c r="R566" s="32">
        <v>45469</v>
      </c>
      <c r="V566" s="33">
        <v>100</v>
      </c>
      <c r="W566" s="28">
        <v>64.29</v>
      </c>
      <c r="X566" s="34" t="s">
        <v>54</v>
      </c>
      <c r="Y566" s="33">
        <v>64.29</v>
      </c>
      <c r="AC566" s="28">
        <v>64.29</v>
      </c>
      <c r="AD566" s="34" t="s">
        <v>54</v>
      </c>
      <c r="AE566" s="33">
        <v>64.29</v>
      </c>
      <c r="AN566" s="7" t="s">
        <v>54</v>
      </c>
      <c r="AO566" s="7" t="s">
        <v>55</v>
      </c>
      <c r="AP566" s="7" t="s">
        <v>56</v>
      </c>
      <c r="AT566" s="47" t="s">
        <v>57</v>
      </c>
      <c r="AU566" s="47" t="s">
        <v>57</v>
      </c>
    </row>
    <row r="567" spans="1:47">
      <c r="A567" s="4" t="s">
        <v>48</v>
      </c>
      <c r="C567" s="21"/>
      <c r="D567" s="22" t="s">
        <v>49</v>
      </c>
      <c r="G567" s="23">
        <v>45100</v>
      </c>
      <c r="H567" s="24" t="s">
        <v>1736</v>
      </c>
      <c r="J567" s="28" t="s">
        <v>51</v>
      </c>
      <c r="L567" s="24" t="s">
        <v>1737</v>
      </c>
      <c r="M567" s="1" t="str">
        <f>"120222199509044223"</f>
        <v>120222199509044223</v>
      </c>
      <c r="N567" s="24" t="s">
        <v>1737</v>
      </c>
      <c r="O567" s="1" t="str">
        <f>"120222199509044223"</f>
        <v>120222199509044223</v>
      </c>
      <c r="P567" s="23" t="s">
        <v>1738</v>
      </c>
      <c r="Q567" s="23">
        <v>45101</v>
      </c>
      <c r="R567" s="32">
        <v>45467</v>
      </c>
      <c r="V567" s="33">
        <v>100</v>
      </c>
      <c r="W567" s="28">
        <v>64.29</v>
      </c>
      <c r="X567" s="34" t="s">
        <v>54</v>
      </c>
      <c r="Y567" s="33">
        <v>64.29</v>
      </c>
      <c r="AC567" s="28">
        <v>64.29</v>
      </c>
      <c r="AD567" s="34" t="s">
        <v>54</v>
      </c>
      <c r="AE567" s="33">
        <v>64.29</v>
      </c>
      <c r="AN567" s="7" t="s">
        <v>54</v>
      </c>
      <c r="AO567" s="7" t="s">
        <v>55</v>
      </c>
      <c r="AP567" s="7" t="s">
        <v>56</v>
      </c>
      <c r="AT567" s="47" t="s">
        <v>57</v>
      </c>
      <c r="AU567" s="47" t="s">
        <v>57</v>
      </c>
    </row>
    <row r="568" spans="1:47">
      <c r="A568" s="4" t="s">
        <v>48</v>
      </c>
      <c r="C568" s="21"/>
      <c r="D568" s="22" t="s">
        <v>49</v>
      </c>
      <c r="G568" s="23">
        <v>45090</v>
      </c>
      <c r="H568" s="24" t="s">
        <v>1739</v>
      </c>
      <c r="J568" s="28" t="s">
        <v>51</v>
      </c>
      <c r="L568" s="24" t="s">
        <v>1740</v>
      </c>
      <c r="M568" s="1" t="str">
        <f>"132825195406022416"</f>
        <v>132825195406022416</v>
      </c>
      <c r="N568" s="24" t="s">
        <v>1740</v>
      </c>
      <c r="O568" s="1" t="str">
        <f>"132825195406022416"</f>
        <v>132825195406022416</v>
      </c>
      <c r="P568" s="23" t="s">
        <v>1741</v>
      </c>
      <c r="Q568" s="23">
        <v>45091</v>
      </c>
      <c r="R568" s="32">
        <v>45457</v>
      </c>
      <c r="V568" s="33">
        <v>100</v>
      </c>
      <c r="W568" s="28">
        <v>64.29</v>
      </c>
      <c r="X568" s="34" t="s">
        <v>54</v>
      </c>
      <c r="Y568" s="33">
        <v>64.29</v>
      </c>
      <c r="AC568" s="28">
        <v>64.29</v>
      </c>
      <c r="AD568" s="34" t="s">
        <v>54</v>
      </c>
      <c r="AE568" s="33">
        <v>64.29</v>
      </c>
      <c r="AN568" s="7" t="s">
        <v>54</v>
      </c>
      <c r="AO568" s="7" t="s">
        <v>55</v>
      </c>
      <c r="AP568" s="7" t="s">
        <v>56</v>
      </c>
      <c r="AT568" s="47" t="s">
        <v>57</v>
      </c>
      <c r="AU568" s="47" t="s">
        <v>57</v>
      </c>
    </row>
    <row r="569" spans="1:47">
      <c r="A569" s="4" t="s">
        <v>48</v>
      </c>
      <c r="C569" s="21"/>
      <c r="D569" s="22" t="s">
        <v>49</v>
      </c>
      <c r="G569" s="23">
        <v>45077</v>
      </c>
      <c r="H569" s="24" t="s">
        <v>1742</v>
      </c>
      <c r="J569" s="28" t="s">
        <v>51</v>
      </c>
      <c r="L569" s="24" t="s">
        <v>1743</v>
      </c>
      <c r="M569" s="1" t="str">
        <f>"34122119860305041X"</f>
        <v>34122119860305041X</v>
      </c>
      <c r="N569" s="24" t="s">
        <v>1743</v>
      </c>
      <c r="O569" s="1" t="str">
        <f>"34122119860305041X"</f>
        <v>34122119860305041X</v>
      </c>
      <c r="P569" s="23" t="s">
        <v>1744</v>
      </c>
      <c r="Q569" s="23">
        <v>45184</v>
      </c>
      <c r="R569" s="32">
        <v>45550</v>
      </c>
      <c r="V569" s="33">
        <v>100</v>
      </c>
      <c r="W569" s="28">
        <v>64.29</v>
      </c>
      <c r="X569" s="34" t="s">
        <v>54</v>
      </c>
      <c r="Y569" s="33">
        <v>64.29</v>
      </c>
      <c r="AC569" s="28">
        <v>64.29</v>
      </c>
      <c r="AD569" s="34" t="s">
        <v>54</v>
      </c>
      <c r="AE569" s="33">
        <v>64.29</v>
      </c>
      <c r="AN569" s="7" t="s">
        <v>54</v>
      </c>
      <c r="AO569" s="7" t="s">
        <v>55</v>
      </c>
      <c r="AP569" s="7" t="s">
        <v>56</v>
      </c>
      <c r="AT569" s="47" t="s">
        <v>57</v>
      </c>
      <c r="AU569" s="47" t="s">
        <v>57</v>
      </c>
    </row>
    <row r="570" spans="1:47">
      <c r="A570" s="4" t="s">
        <v>48</v>
      </c>
      <c r="C570" s="21"/>
      <c r="D570" s="22" t="s">
        <v>49</v>
      </c>
      <c r="G570" s="23">
        <v>45084</v>
      </c>
      <c r="H570" s="24" t="s">
        <v>1745</v>
      </c>
      <c r="J570" s="28" t="s">
        <v>51</v>
      </c>
      <c r="L570" s="24" t="s">
        <v>1746</v>
      </c>
      <c r="M570" s="1" t="str">
        <f>"34212219790801103X"</f>
        <v>34212219790801103X</v>
      </c>
      <c r="N570" s="24" t="s">
        <v>1746</v>
      </c>
      <c r="O570" s="1" t="str">
        <f>"34212219790801103X"</f>
        <v>34212219790801103X</v>
      </c>
      <c r="P570" s="23" t="s">
        <v>1747</v>
      </c>
      <c r="Q570" s="23">
        <v>45085</v>
      </c>
      <c r="R570" s="32">
        <v>45451</v>
      </c>
      <c r="V570" s="33">
        <v>300</v>
      </c>
      <c r="W570" s="28">
        <v>64.29</v>
      </c>
      <c r="X570" s="34" t="s">
        <v>54</v>
      </c>
      <c r="Y570" s="33">
        <v>192.87</v>
      </c>
      <c r="AC570" s="28">
        <v>64.29</v>
      </c>
      <c r="AD570" s="34" t="s">
        <v>54</v>
      </c>
      <c r="AE570" s="33">
        <v>192.87</v>
      </c>
      <c r="AN570" s="7" t="s">
        <v>54</v>
      </c>
      <c r="AO570" s="7" t="s">
        <v>55</v>
      </c>
      <c r="AP570" s="7" t="s">
        <v>56</v>
      </c>
      <c r="AT570" s="47" t="s">
        <v>57</v>
      </c>
      <c r="AU570" s="47" t="s">
        <v>57</v>
      </c>
    </row>
    <row r="571" spans="1:47">
      <c r="A571" s="4" t="s">
        <v>48</v>
      </c>
      <c r="C571" s="21"/>
      <c r="D571" s="22" t="s">
        <v>49</v>
      </c>
      <c r="G571" s="23">
        <v>45083</v>
      </c>
      <c r="H571" s="24" t="s">
        <v>1748</v>
      </c>
      <c r="J571" s="28" t="s">
        <v>51</v>
      </c>
      <c r="L571" s="24" t="s">
        <v>1749</v>
      </c>
      <c r="M571" s="1" t="str">
        <f>"132825195911192416"</f>
        <v>132825195911192416</v>
      </c>
      <c r="N571" s="24" t="s">
        <v>1749</v>
      </c>
      <c r="O571" s="1" t="str">
        <f>"132825195911192416"</f>
        <v>132825195911192416</v>
      </c>
      <c r="P571" s="23" t="s">
        <v>1750</v>
      </c>
      <c r="Q571" s="23">
        <v>45084</v>
      </c>
      <c r="R571" s="32">
        <v>45450</v>
      </c>
      <c r="V571" s="33">
        <v>300</v>
      </c>
      <c r="W571" s="28">
        <v>64.29</v>
      </c>
      <c r="X571" s="34" t="s">
        <v>54</v>
      </c>
      <c r="Y571" s="33">
        <v>192.87</v>
      </c>
      <c r="AC571" s="28">
        <v>64.29</v>
      </c>
      <c r="AD571" s="34" t="s">
        <v>54</v>
      </c>
      <c r="AE571" s="33">
        <v>192.87</v>
      </c>
      <c r="AN571" s="7" t="s">
        <v>54</v>
      </c>
      <c r="AO571" s="7" t="s">
        <v>55</v>
      </c>
      <c r="AP571" s="7" t="s">
        <v>56</v>
      </c>
      <c r="AT571" s="47" t="s">
        <v>57</v>
      </c>
      <c r="AU571" s="47" t="s">
        <v>57</v>
      </c>
    </row>
    <row r="572" spans="1:47">
      <c r="A572" s="4" t="s">
        <v>48</v>
      </c>
      <c r="C572" s="21"/>
      <c r="D572" s="22" t="s">
        <v>49</v>
      </c>
      <c r="G572" s="23">
        <v>45094</v>
      </c>
      <c r="H572" s="24" t="s">
        <v>1751</v>
      </c>
      <c r="J572" s="28" t="s">
        <v>51</v>
      </c>
      <c r="L572" s="24" t="s">
        <v>1752</v>
      </c>
      <c r="M572" s="1" t="str">
        <f>"110106196101203656"</f>
        <v>110106196101203656</v>
      </c>
      <c r="N572" s="24" t="s">
        <v>1752</v>
      </c>
      <c r="O572" s="1" t="str">
        <f>"110106196101203656"</f>
        <v>110106196101203656</v>
      </c>
      <c r="P572" s="23" t="s">
        <v>1753</v>
      </c>
      <c r="Q572" s="23">
        <v>45095</v>
      </c>
      <c r="R572" s="32">
        <v>45461</v>
      </c>
      <c r="V572" s="33">
        <v>600</v>
      </c>
      <c r="W572" s="28">
        <v>64.29</v>
      </c>
      <c r="X572" s="34" t="s">
        <v>54</v>
      </c>
      <c r="Y572" s="33">
        <v>385.74</v>
      </c>
      <c r="AC572" s="28">
        <v>64.29</v>
      </c>
      <c r="AD572" s="34" t="s">
        <v>54</v>
      </c>
      <c r="AE572" s="33">
        <v>385.74</v>
      </c>
      <c r="AN572" s="7" t="s">
        <v>54</v>
      </c>
      <c r="AO572" s="7" t="s">
        <v>55</v>
      </c>
      <c r="AP572" s="7" t="s">
        <v>56</v>
      </c>
      <c r="AT572" s="47" t="s">
        <v>57</v>
      </c>
      <c r="AU572" s="47" t="s">
        <v>57</v>
      </c>
    </row>
    <row r="573" spans="1:47">
      <c r="A573" s="4" t="s">
        <v>48</v>
      </c>
      <c r="C573" s="21"/>
      <c r="D573" s="22" t="s">
        <v>49</v>
      </c>
      <c r="G573" s="23">
        <v>45089</v>
      </c>
      <c r="H573" s="24" t="s">
        <v>1754</v>
      </c>
      <c r="J573" s="28" t="s">
        <v>51</v>
      </c>
      <c r="L573" s="24" t="s">
        <v>1755</v>
      </c>
      <c r="M573" s="1" t="str">
        <f>"132825195301092418"</f>
        <v>132825195301092418</v>
      </c>
      <c r="N573" s="24" t="s">
        <v>1755</v>
      </c>
      <c r="O573" s="1" t="str">
        <f>"132825195301092418"</f>
        <v>132825195301092418</v>
      </c>
      <c r="P573" s="23" t="s">
        <v>1756</v>
      </c>
      <c r="Q573" s="23">
        <v>45090</v>
      </c>
      <c r="R573" s="32">
        <v>45456</v>
      </c>
      <c r="V573" s="33">
        <v>50</v>
      </c>
      <c r="W573" s="28">
        <v>64.29</v>
      </c>
      <c r="X573" s="34" t="s">
        <v>54</v>
      </c>
      <c r="Y573" s="33">
        <v>32.15</v>
      </c>
      <c r="AC573" s="28">
        <v>64.29</v>
      </c>
      <c r="AD573" s="34" t="s">
        <v>54</v>
      </c>
      <c r="AE573" s="33">
        <v>32.15</v>
      </c>
      <c r="AN573" s="7" t="s">
        <v>54</v>
      </c>
      <c r="AO573" s="7" t="s">
        <v>55</v>
      </c>
      <c r="AP573" s="7" t="s">
        <v>56</v>
      </c>
      <c r="AT573" s="47" t="s">
        <v>57</v>
      </c>
      <c r="AU573" s="47" t="s">
        <v>57</v>
      </c>
    </row>
    <row r="574" spans="1:47">
      <c r="A574" s="4" t="s">
        <v>48</v>
      </c>
      <c r="C574" s="21"/>
      <c r="D574" s="22" t="s">
        <v>49</v>
      </c>
      <c r="G574" s="23">
        <v>45089</v>
      </c>
      <c r="H574" s="24" t="s">
        <v>1757</v>
      </c>
      <c r="J574" s="28" t="s">
        <v>51</v>
      </c>
      <c r="L574" s="24" t="s">
        <v>1758</v>
      </c>
      <c r="M574" s="1" t="str">
        <f>"132825197209042417"</f>
        <v>132825197209042417</v>
      </c>
      <c r="N574" s="24" t="s">
        <v>1758</v>
      </c>
      <c r="O574" s="1" t="str">
        <f>"132825197209042417"</f>
        <v>132825197209042417</v>
      </c>
      <c r="P574" s="23" t="s">
        <v>1759</v>
      </c>
      <c r="Q574" s="23">
        <v>45090</v>
      </c>
      <c r="R574" s="32">
        <v>45456</v>
      </c>
      <c r="V574" s="33">
        <v>50</v>
      </c>
      <c r="W574" s="28">
        <v>64.29</v>
      </c>
      <c r="X574" s="34" t="s">
        <v>54</v>
      </c>
      <c r="Y574" s="33">
        <v>32.15</v>
      </c>
      <c r="AC574" s="28">
        <v>64.29</v>
      </c>
      <c r="AD574" s="34" t="s">
        <v>54</v>
      </c>
      <c r="AE574" s="33">
        <v>32.15</v>
      </c>
      <c r="AN574" s="7" t="s">
        <v>54</v>
      </c>
      <c r="AO574" s="7" t="s">
        <v>55</v>
      </c>
      <c r="AP574" s="7" t="s">
        <v>56</v>
      </c>
      <c r="AT574" s="47" t="s">
        <v>57</v>
      </c>
      <c r="AU574" s="47" t="s">
        <v>57</v>
      </c>
    </row>
    <row r="575" spans="1:47">
      <c r="A575" s="4" t="s">
        <v>48</v>
      </c>
      <c r="C575" s="21"/>
      <c r="D575" s="22" t="s">
        <v>49</v>
      </c>
      <c r="G575" s="23">
        <v>45088</v>
      </c>
      <c r="H575" s="24" t="s">
        <v>1760</v>
      </c>
      <c r="J575" s="28" t="s">
        <v>51</v>
      </c>
      <c r="L575" s="24" t="s">
        <v>1761</v>
      </c>
      <c r="M575" s="1" t="str">
        <f>"34120319970102409X"</f>
        <v>34120319970102409X</v>
      </c>
      <c r="N575" s="24" t="s">
        <v>1761</v>
      </c>
      <c r="O575" s="1" t="str">
        <f>"34120319970102409X"</f>
        <v>34120319970102409X</v>
      </c>
      <c r="P575" s="23" t="s">
        <v>1762</v>
      </c>
      <c r="Q575" s="23">
        <v>45089</v>
      </c>
      <c r="R575" s="32">
        <v>45455</v>
      </c>
      <c r="V575" s="33">
        <v>50</v>
      </c>
      <c r="W575" s="28">
        <v>64.29</v>
      </c>
      <c r="X575" s="34" t="s">
        <v>54</v>
      </c>
      <c r="Y575" s="33">
        <v>32.15</v>
      </c>
      <c r="AC575" s="28">
        <v>64.29</v>
      </c>
      <c r="AD575" s="34" t="s">
        <v>54</v>
      </c>
      <c r="AE575" s="33">
        <v>32.15</v>
      </c>
      <c r="AN575" s="7" t="s">
        <v>54</v>
      </c>
      <c r="AO575" s="7" t="s">
        <v>55</v>
      </c>
      <c r="AP575" s="7" t="s">
        <v>56</v>
      </c>
      <c r="AT575" s="47" t="s">
        <v>57</v>
      </c>
      <c r="AU575" s="47" t="s">
        <v>57</v>
      </c>
    </row>
    <row r="576" spans="1:47">
      <c r="A576" s="4" t="s">
        <v>48</v>
      </c>
      <c r="C576" s="21"/>
      <c r="D576" s="22" t="s">
        <v>49</v>
      </c>
      <c r="G576" s="23">
        <v>45102</v>
      </c>
      <c r="H576" s="24" t="s">
        <v>1763</v>
      </c>
      <c r="J576" s="28" t="s">
        <v>51</v>
      </c>
      <c r="L576" s="24" t="s">
        <v>1764</v>
      </c>
      <c r="M576" s="1" t="str">
        <f>"342101198101177437"</f>
        <v>342101198101177437</v>
      </c>
      <c r="N576" s="24" t="s">
        <v>1764</v>
      </c>
      <c r="O576" s="1" t="str">
        <f>"342101198101177437"</f>
        <v>342101198101177437</v>
      </c>
      <c r="P576" s="23" t="s">
        <v>1765</v>
      </c>
      <c r="Q576" s="23">
        <v>45103</v>
      </c>
      <c r="R576" s="32">
        <v>45469</v>
      </c>
      <c r="V576" s="33">
        <v>100</v>
      </c>
      <c r="W576" s="28">
        <v>64.29</v>
      </c>
      <c r="X576" s="34" t="s">
        <v>54</v>
      </c>
      <c r="Y576" s="33">
        <v>64.29</v>
      </c>
      <c r="AC576" s="28">
        <v>64.29</v>
      </c>
      <c r="AD576" s="34" t="s">
        <v>54</v>
      </c>
      <c r="AE576" s="33">
        <v>64.29</v>
      </c>
      <c r="AN576" s="7" t="s">
        <v>54</v>
      </c>
      <c r="AO576" s="7" t="s">
        <v>55</v>
      </c>
      <c r="AP576" s="7" t="s">
        <v>56</v>
      </c>
      <c r="AT576" s="47" t="s">
        <v>57</v>
      </c>
      <c r="AU576" s="47" t="s">
        <v>57</v>
      </c>
    </row>
    <row r="577" spans="1:47">
      <c r="A577" s="4" t="s">
        <v>48</v>
      </c>
      <c r="C577" s="21"/>
      <c r="D577" s="22" t="s">
        <v>49</v>
      </c>
      <c r="G577" s="23">
        <v>45089</v>
      </c>
      <c r="H577" s="24" t="s">
        <v>1766</v>
      </c>
      <c r="J577" s="28" t="s">
        <v>51</v>
      </c>
      <c r="L577" s="24" t="s">
        <v>1767</v>
      </c>
      <c r="M577" s="1" t="str">
        <f>"132825195603152412"</f>
        <v>132825195603152412</v>
      </c>
      <c r="N577" s="24" t="s">
        <v>1767</v>
      </c>
      <c r="O577" s="1" t="str">
        <f>"132825195603152412"</f>
        <v>132825195603152412</v>
      </c>
      <c r="P577" s="23" t="s">
        <v>1768</v>
      </c>
      <c r="Q577" s="23">
        <v>45090</v>
      </c>
      <c r="R577" s="32">
        <v>45456</v>
      </c>
      <c r="V577" s="33">
        <v>100</v>
      </c>
      <c r="W577" s="28">
        <v>64.29</v>
      </c>
      <c r="X577" s="34" t="s">
        <v>54</v>
      </c>
      <c r="Y577" s="33">
        <v>64.29</v>
      </c>
      <c r="AC577" s="28">
        <v>64.29</v>
      </c>
      <c r="AD577" s="34" t="s">
        <v>54</v>
      </c>
      <c r="AE577" s="33">
        <v>64.29</v>
      </c>
      <c r="AN577" s="7" t="s">
        <v>54</v>
      </c>
      <c r="AO577" s="7" t="s">
        <v>55</v>
      </c>
      <c r="AP577" s="7" t="s">
        <v>56</v>
      </c>
      <c r="AT577" s="47" t="s">
        <v>57</v>
      </c>
      <c r="AU577" s="47" t="s">
        <v>57</v>
      </c>
    </row>
    <row r="578" spans="1:47">
      <c r="A578" s="4" t="s">
        <v>48</v>
      </c>
      <c r="C578" s="21"/>
      <c r="D578" s="22" t="s">
        <v>49</v>
      </c>
      <c r="G578" s="23">
        <v>45090</v>
      </c>
      <c r="H578" s="24" t="s">
        <v>1769</v>
      </c>
      <c r="J578" s="28" t="s">
        <v>51</v>
      </c>
      <c r="L578" s="24" t="s">
        <v>1770</v>
      </c>
      <c r="M578" s="1" t="str">
        <f>"132825196208242412"</f>
        <v>132825196208242412</v>
      </c>
      <c r="N578" s="24" t="s">
        <v>1770</v>
      </c>
      <c r="O578" s="1" t="str">
        <f>"132825196208242412"</f>
        <v>132825196208242412</v>
      </c>
      <c r="P578" s="23" t="s">
        <v>1771</v>
      </c>
      <c r="Q578" s="23">
        <v>45091</v>
      </c>
      <c r="R578" s="32">
        <v>45457</v>
      </c>
      <c r="V578" s="33">
        <v>100</v>
      </c>
      <c r="W578" s="28">
        <v>64.29</v>
      </c>
      <c r="X578" s="34" t="s">
        <v>54</v>
      </c>
      <c r="Y578" s="33">
        <v>64.29</v>
      </c>
      <c r="AC578" s="28">
        <v>64.29</v>
      </c>
      <c r="AD578" s="34" t="s">
        <v>54</v>
      </c>
      <c r="AE578" s="33">
        <v>64.29</v>
      </c>
      <c r="AN578" s="7" t="s">
        <v>54</v>
      </c>
      <c r="AO578" s="7" t="s">
        <v>55</v>
      </c>
      <c r="AP578" s="7" t="s">
        <v>56</v>
      </c>
      <c r="AT578" s="47" t="s">
        <v>57</v>
      </c>
      <c r="AU578" s="47" t="s">
        <v>57</v>
      </c>
    </row>
    <row r="579" spans="1:47">
      <c r="A579" s="4" t="s">
        <v>48</v>
      </c>
      <c r="C579" s="21"/>
      <c r="D579" s="22" t="s">
        <v>49</v>
      </c>
      <c r="G579" s="23">
        <v>45089</v>
      </c>
      <c r="H579" s="24" t="s">
        <v>1772</v>
      </c>
      <c r="J579" s="28" t="s">
        <v>51</v>
      </c>
      <c r="L579" s="24" t="s">
        <v>1773</v>
      </c>
      <c r="M579" s="1" t="str">
        <f>"34210119701110183X"</f>
        <v>34210119701110183X</v>
      </c>
      <c r="N579" s="24" t="s">
        <v>1773</v>
      </c>
      <c r="O579" s="1" t="str">
        <f>"34210119701110183X"</f>
        <v>34210119701110183X</v>
      </c>
      <c r="P579" s="23" t="s">
        <v>1774</v>
      </c>
      <c r="Q579" s="23">
        <v>45090</v>
      </c>
      <c r="R579" s="32">
        <v>45456</v>
      </c>
      <c r="V579" s="33">
        <v>100</v>
      </c>
      <c r="W579" s="28">
        <v>64.29</v>
      </c>
      <c r="X579" s="34" t="s">
        <v>54</v>
      </c>
      <c r="Y579" s="33">
        <v>64.29</v>
      </c>
      <c r="AC579" s="28">
        <v>64.29</v>
      </c>
      <c r="AD579" s="34" t="s">
        <v>54</v>
      </c>
      <c r="AE579" s="33">
        <v>64.29</v>
      </c>
      <c r="AN579" s="7" t="s">
        <v>54</v>
      </c>
      <c r="AO579" s="7" t="s">
        <v>55</v>
      </c>
      <c r="AP579" s="7" t="s">
        <v>56</v>
      </c>
      <c r="AT579" s="47" t="s">
        <v>57</v>
      </c>
      <c r="AU579" s="47" t="s">
        <v>57</v>
      </c>
    </row>
    <row r="580" spans="1:47">
      <c r="A580" s="4" t="s">
        <v>48</v>
      </c>
      <c r="C580" s="21"/>
      <c r="D580" s="22" t="s">
        <v>49</v>
      </c>
      <c r="G580" s="23">
        <v>45075</v>
      </c>
      <c r="H580" s="24" t="s">
        <v>1775</v>
      </c>
      <c r="J580" s="28" t="s">
        <v>51</v>
      </c>
      <c r="L580" s="24" t="s">
        <v>1776</v>
      </c>
      <c r="M580" s="1" t="str">
        <f>"130103196404150912"</f>
        <v>130103196404150912</v>
      </c>
      <c r="N580" s="24" t="s">
        <v>1776</v>
      </c>
      <c r="O580" s="1" t="str">
        <f>"130103196404150912"</f>
        <v>130103196404150912</v>
      </c>
      <c r="P580" s="23" t="s">
        <v>1777</v>
      </c>
      <c r="Q580" s="23">
        <v>45168</v>
      </c>
      <c r="R580" s="32">
        <v>45534</v>
      </c>
      <c r="V580" s="33">
        <v>100</v>
      </c>
      <c r="W580" s="28">
        <v>64.29</v>
      </c>
      <c r="X580" s="34" t="s">
        <v>54</v>
      </c>
      <c r="Y580" s="33">
        <v>64.29</v>
      </c>
      <c r="AC580" s="28">
        <v>64.29</v>
      </c>
      <c r="AD580" s="34" t="s">
        <v>54</v>
      </c>
      <c r="AE580" s="33">
        <v>64.29</v>
      </c>
      <c r="AN580" s="7" t="s">
        <v>54</v>
      </c>
      <c r="AO580" s="7" t="s">
        <v>55</v>
      </c>
      <c r="AP580" s="7" t="s">
        <v>56</v>
      </c>
      <c r="AT580" s="47" t="s">
        <v>57</v>
      </c>
      <c r="AU580" s="47" t="s">
        <v>57</v>
      </c>
    </row>
    <row r="581" spans="1:47">
      <c r="A581" s="4" t="s">
        <v>48</v>
      </c>
      <c r="C581" s="21"/>
      <c r="D581" s="22" t="s">
        <v>49</v>
      </c>
      <c r="G581" s="23">
        <v>45075</v>
      </c>
      <c r="H581" s="24" t="s">
        <v>1778</v>
      </c>
      <c r="J581" s="28" t="s">
        <v>51</v>
      </c>
      <c r="L581" s="24" t="s">
        <v>1779</v>
      </c>
      <c r="M581" s="1" t="str">
        <f>"341227198507206013"</f>
        <v>341227198507206013</v>
      </c>
      <c r="N581" s="24" t="s">
        <v>1779</v>
      </c>
      <c r="O581" s="1" t="str">
        <f>"341227198507206013"</f>
        <v>341227198507206013</v>
      </c>
      <c r="P581" s="23" t="s">
        <v>1780</v>
      </c>
      <c r="Q581" s="23">
        <v>45076</v>
      </c>
      <c r="R581" s="32">
        <v>45442</v>
      </c>
      <c r="V581" s="33">
        <v>100</v>
      </c>
      <c r="W581" s="28">
        <v>64.29</v>
      </c>
      <c r="X581" s="34" t="s">
        <v>54</v>
      </c>
      <c r="Y581" s="33">
        <v>64.29</v>
      </c>
      <c r="AC581" s="28">
        <v>64.29</v>
      </c>
      <c r="AD581" s="34" t="s">
        <v>54</v>
      </c>
      <c r="AE581" s="33">
        <v>64.29</v>
      </c>
      <c r="AN581" s="7" t="s">
        <v>54</v>
      </c>
      <c r="AO581" s="7" t="s">
        <v>55</v>
      </c>
      <c r="AP581" s="7" t="s">
        <v>56</v>
      </c>
      <c r="AT581" s="47" t="s">
        <v>57</v>
      </c>
      <c r="AU581" s="47" t="s">
        <v>57</v>
      </c>
    </row>
    <row r="582" spans="1:47">
      <c r="A582" s="4" t="s">
        <v>48</v>
      </c>
      <c r="C582" s="21"/>
      <c r="D582" s="22" t="s">
        <v>49</v>
      </c>
      <c r="G582" s="23">
        <v>45090</v>
      </c>
      <c r="H582" s="24" t="s">
        <v>1781</v>
      </c>
      <c r="J582" s="28" t="s">
        <v>51</v>
      </c>
      <c r="L582" s="24" t="s">
        <v>1782</v>
      </c>
      <c r="M582" s="1" t="str">
        <f>"132825196410112419"</f>
        <v>132825196410112419</v>
      </c>
      <c r="N582" s="24" t="s">
        <v>1782</v>
      </c>
      <c r="O582" s="1" t="str">
        <f>"132825196410112419"</f>
        <v>132825196410112419</v>
      </c>
      <c r="P582" s="23" t="s">
        <v>1783</v>
      </c>
      <c r="Q582" s="23">
        <v>45091</v>
      </c>
      <c r="R582" s="32">
        <v>45457</v>
      </c>
      <c r="V582" s="33">
        <v>600</v>
      </c>
      <c r="W582" s="28">
        <v>64.29</v>
      </c>
      <c r="X582" s="34" t="s">
        <v>54</v>
      </c>
      <c r="Y582" s="33">
        <v>385.74</v>
      </c>
      <c r="AC582" s="28">
        <v>64.29</v>
      </c>
      <c r="AD582" s="34" t="s">
        <v>54</v>
      </c>
      <c r="AE582" s="33">
        <v>385.74</v>
      </c>
      <c r="AN582" s="7" t="s">
        <v>54</v>
      </c>
      <c r="AO582" s="7" t="s">
        <v>55</v>
      </c>
      <c r="AP582" s="7" t="s">
        <v>56</v>
      </c>
      <c r="AT582" s="47" t="s">
        <v>57</v>
      </c>
      <c r="AU582" s="47" t="s">
        <v>57</v>
      </c>
    </row>
    <row r="583" spans="1:47">
      <c r="A583" s="4" t="s">
        <v>48</v>
      </c>
      <c r="C583" s="21"/>
      <c r="D583" s="22" t="s">
        <v>49</v>
      </c>
      <c r="G583" s="23">
        <v>45089</v>
      </c>
      <c r="H583" s="24" t="s">
        <v>1784</v>
      </c>
      <c r="J583" s="28" t="s">
        <v>51</v>
      </c>
      <c r="L583" s="24" t="s">
        <v>1785</v>
      </c>
      <c r="M583" s="1" t="str">
        <f>"510824198609024899"</f>
        <v>510824198609024899</v>
      </c>
      <c r="N583" s="24" t="s">
        <v>1785</v>
      </c>
      <c r="O583" s="1" t="str">
        <f>"510824198609024899"</f>
        <v>510824198609024899</v>
      </c>
      <c r="P583" s="23" t="s">
        <v>1786</v>
      </c>
      <c r="Q583" s="23">
        <v>45090</v>
      </c>
      <c r="R583" s="32">
        <v>45456</v>
      </c>
      <c r="V583" s="33">
        <v>600</v>
      </c>
      <c r="W583" s="28">
        <v>64.29</v>
      </c>
      <c r="X583" s="34" t="s">
        <v>54</v>
      </c>
      <c r="Y583" s="33">
        <v>385.74</v>
      </c>
      <c r="AC583" s="28">
        <v>64.29</v>
      </c>
      <c r="AD583" s="34" t="s">
        <v>54</v>
      </c>
      <c r="AE583" s="33">
        <v>385.74</v>
      </c>
      <c r="AN583" s="7" t="s">
        <v>54</v>
      </c>
      <c r="AO583" s="7" t="s">
        <v>55</v>
      </c>
      <c r="AP583" s="7" t="s">
        <v>56</v>
      </c>
      <c r="AT583" s="47" t="s">
        <v>57</v>
      </c>
      <c r="AU583" s="47" t="s">
        <v>57</v>
      </c>
    </row>
    <row r="584" spans="1:47">
      <c r="A584" s="4" t="s">
        <v>48</v>
      </c>
      <c r="C584" s="21"/>
      <c r="D584" s="22" t="s">
        <v>49</v>
      </c>
      <c r="G584" s="23">
        <v>45087</v>
      </c>
      <c r="H584" s="24" t="s">
        <v>1787</v>
      </c>
      <c r="J584" s="28" t="s">
        <v>51</v>
      </c>
      <c r="L584" s="24" t="s">
        <v>1788</v>
      </c>
      <c r="M584" s="1" t="str">
        <f>"341227198706294466"</f>
        <v>341227198706294466</v>
      </c>
      <c r="N584" s="24" t="s">
        <v>1788</v>
      </c>
      <c r="O584" s="1" t="str">
        <f>"341227198706294466"</f>
        <v>341227198706294466</v>
      </c>
      <c r="P584" s="23" t="s">
        <v>1789</v>
      </c>
      <c r="Q584" s="23">
        <v>45088</v>
      </c>
      <c r="R584" s="32">
        <v>45454</v>
      </c>
      <c r="V584" s="33">
        <v>600</v>
      </c>
      <c r="W584" s="28">
        <v>64.29</v>
      </c>
      <c r="X584" s="34" t="s">
        <v>54</v>
      </c>
      <c r="Y584" s="33">
        <v>385.74</v>
      </c>
      <c r="AC584" s="28">
        <v>64.29</v>
      </c>
      <c r="AD584" s="34" t="s">
        <v>54</v>
      </c>
      <c r="AE584" s="33">
        <v>385.74</v>
      </c>
      <c r="AN584" s="7" t="s">
        <v>54</v>
      </c>
      <c r="AO584" s="7" t="s">
        <v>55</v>
      </c>
      <c r="AP584" s="7" t="s">
        <v>56</v>
      </c>
      <c r="AT584" s="47" t="s">
        <v>57</v>
      </c>
      <c r="AU584" s="47" t="s">
        <v>57</v>
      </c>
    </row>
    <row r="585" spans="1:47">
      <c r="A585" s="4" t="s">
        <v>48</v>
      </c>
      <c r="C585" s="21"/>
      <c r="D585" s="22" t="s">
        <v>49</v>
      </c>
      <c r="G585" s="23">
        <v>45089</v>
      </c>
      <c r="H585" s="24" t="s">
        <v>1790</v>
      </c>
      <c r="J585" s="28" t="s">
        <v>51</v>
      </c>
      <c r="L585" s="24" t="s">
        <v>1791</v>
      </c>
      <c r="M585" s="1" t="str">
        <f>"131024198205153930"</f>
        <v>131024198205153930</v>
      </c>
      <c r="N585" s="24" t="s">
        <v>1791</v>
      </c>
      <c r="O585" s="1" t="str">
        <f>"131024198205153930"</f>
        <v>131024198205153930</v>
      </c>
      <c r="P585" s="23" t="s">
        <v>1792</v>
      </c>
      <c r="Q585" s="23">
        <v>45090</v>
      </c>
      <c r="R585" s="32">
        <v>45456</v>
      </c>
      <c r="V585" s="33">
        <v>50</v>
      </c>
      <c r="W585" s="28">
        <v>64.29</v>
      </c>
      <c r="X585" s="34" t="s">
        <v>54</v>
      </c>
      <c r="Y585" s="33">
        <v>32.15</v>
      </c>
      <c r="AC585" s="28">
        <v>64.29</v>
      </c>
      <c r="AD585" s="34" t="s">
        <v>54</v>
      </c>
      <c r="AE585" s="33">
        <v>32.15</v>
      </c>
      <c r="AN585" s="7" t="s">
        <v>54</v>
      </c>
      <c r="AO585" s="7" t="s">
        <v>55</v>
      </c>
      <c r="AP585" s="7" t="s">
        <v>56</v>
      </c>
      <c r="AT585" s="47" t="s">
        <v>57</v>
      </c>
      <c r="AU585" s="47" t="s">
        <v>57</v>
      </c>
    </row>
    <row r="586" spans="1:47">
      <c r="A586" s="4" t="s">
        <v>48</v>
      </c>
      <c r="C586" s="21"/>
      <c r="D586" s="22" t="s">
        <v>49</v>
      </c>
      <c r="G586" s="23">
        <v>45087</v>
      </c>
      <c r="H586" s="24" t="s">
        <v>1793</v>
      </c>
      <c r="J586" s="28" t="s">
        <v>51</v>
      </c>
      <c r="L586" s="24" t="s">
        <v>1794</v>
      </c>
      <c r="M586" s="1" t="str">
        <f>"132825195301162412"</f>
        <v>132825195301162412</v>
      </c>
      <c r="N586" s="24" t="s">
        <v>1794</v>
      </c>
      <c r="O586" s="1" t="str">
        <f>"132825195301162412"</f>
        <v>132825195301162412</v>
      </c>
      <c r="P586" s="23" t="s">
        <v>1795</v>
      </c>
      <c r="Q586" s="23">
        <v>45088</v>
      </c>
      <c r="R586" s="32">
        <v>45454</v>
      </c>
      <c r="V586" s="33">
        <v>50</v>
      </c>
      <c r="W586" s="28">
        <v>64.29</v>
      </c>
      <c r="X586" s="34" t="s">
        <v>54</v>
      </c>
      <c r="Y586" s="33">
        <v>32.15</v>
      </c>
      <c r="AC586" s="28">
        <v>64.29</v>
      </c>
      <c r="AD586" s="34" t="s">
        <v>54</v>
      </c>
      <c r="AE586" s="33">
        <v>32.15</v>
      </c>
      <c r="AN586" s="7" t="s">
        <v>54</v>
      </c>
      <c r="AO586" s="7" t="s">
        <v>55</v>
      </c>
      <c r="AP586" s="7" t="s">
        <v>56</v>
      </c>
      <c r="AT586" s="47" t="s">
        <v>57</v>
      </c>
      <c r="AU586" s="47" t="s">
        <v>57</v>
      </c>
    </row>
    <row r="587" spans="1:47">
      <c r="A587" s="4" t="s">
        <v>48</v>
      </c>
      <c r="C587" s="21"/>
      <c r="D587" s="22" t="s">
        <v>49</v>
      </c>
      <c r="G587" s="23">
        <v>45098</v>
      </c>
      <c r="H587" s="24" t="s">
        <v>1796</v>
      </c>
      <c r="J587" s="28" t="s">
        <v>51</v>
      </c>
      <c r="L587" s="24" t="s">
        <v>1797</v>
      </c>
      <c r="M587" s="1" t="str">
        <f>"132825195712192413"</f>
        <v>132825195712192413</v>
      </c>
      <c r="N587" s="24" t="s">
        <v>1797</v>
      </c>
      <c r="O587" s="1" t="str">
        <f>"132825195712192413"</f>
        <v>132825195712192413</v>
      </c>
      <c r="P587" s="23" t="s">
        <v>1798</v>
      </c>
      <c r="Q587" s="23">
        <v>45115</v>
      </c>
      <c r="R587" s="32">
        <v>45481</v>
      </c>
      <c r="V587" s="33">
        <v>100</v>
      </c>
      <c r="W587" s="28">
        <v>64.29</v>
      </c>
      <c r="X587" s="34" t="s">
        <v>54</v>
      </c>
      <c r="Y587" s="33">
        <v>64.29</v>
      </c>
      <c r="AC587" s="28">
        <v>64.29</v>
      </c>
      <c r="AD587" s="34" t="s">
        <v>54</v>
      </c>
      <c r="AE587" s="33">
        <v>64.29</v>
      </c>
      <c r="AN587" s="7" t="s">
        <v>54</v>
      </c>
      <c r="AO587" s="7" t="s">
        <v>55</v>
      </c>
      <c r="AP587" s="7" t="s">
        <v>56</v>
      </c>
      <c r="AT587" s="47" t="s">
        <v>57</v>
      </c>
      <c r="AU587" s="47" t="s">
        <v>57</v>
      </c>
    </row>
    <row r="588" spans="1:47">
      <c r="A588" s="4" t="s">
        <v>48</v>
      </c>
      <c r="C588" s="21"/>
      <c r="D588" s="22" t="s">
        <v>49</v>
      </c>
      <c r="G588" s="23">
        <v>45097</v>
      </c>
      <c r="H588" s="24" t="s">
        <v>1799</v>
      </c>
      <c r="J588" s="28" t="s">
        <v>51</v>
      </c>
      <c r="L588" s="24" t="s">
        <v>1800</v>
      </c>
      <c r="M588" s="1" t="str">
        <f>"341203199004241910"</f>
        <v>341203199004241910</v>
      </c>
      <c r="N588" s="24" t="s">
        <v>1800</v>
      </c>
      <c r="O588" s="1" t="str">
        <f>"341203199004241910"</f>
        <v>341203199004241910</v>
      </c>
      <c r="P588" s="23" t="s">
        <v>1801</v>
      </c>
      <c r="Q588" s="23">
        <v>45098</v>
      </c>
      <c r="R588" s="32">
        <v>45464</v>
      </c>
      <c r="V588" s="33">
        <v>100</v>
      </c>
      <c r="W588" s="28">
        <v>64.29</v>
      </c>
      <c r="X588" s="34" t="s">
        <v>54</v>
      </c>
      <c r="Y588" s="33">
        <v>64.29</v>
      </c>
      <c r="AC588" s="28">
        <v>64.29</v>
      </c>
      <c r="AD588" s="34" t="s">
        <v>54</v>
      </c>
      <c r="AE588" s="33">
        <v>64.29</v>
      </c>
      <c r="AN588" s="7" t="s">
        <v>54</v>
      </c>
      <c r="AO588" s="7" t="s">
        <v>55</v>
      </c>
      <c r="AP588" s="7" t="s">
        <v>56</v>
      </c>
      <c r="AT588" s="47" t="s">
        <v>57</v>
      </c>
      <c r="AU588" s="47" t="s">
        <v>57</v>
      </c>
    </row>
    <row r="589" spans="1:47">
      <c r="A589" s="4" t="s">
        <v>48</v>
      </c>
      <c r="C589" s="21"/>
      <c r="D589" s="22" t="s">
        <v>49</v>
      </c>
      <c r="G589" s="23">
        <v>45097</v>
      </c>
      <c r="H589" s="24" t="s">
        <v>1802</v>
      </c>
      <c r="J589" s="28" t="s">
        <v>51</v>
      </c>
      <c r="L589" s="24" t="s">
        <v>1803</v>
      </c>
      <c r="M589" s="1" t="str">
        <f>"131024196306167224"</f>
        <v>131024196306167224</v>
      </c>
      <c r="N589" s="24" t="s">
        <v>1803</v>
      </c>
      <c r="O589" s="1" t="str">
        <f>"131024196306167224"</f>
        <v>131024196306167224</v>
      </c>
      <c r="P589" s="23" t="s">
        <v>1804</v>
      </c>
      <c r="Q589" s="23">
        <v>45107</v>
      </c>
      <c r="R589" s="32">
        <v>45473</v>
      </c>
      <c r="V589" s="33">
        <v>100</v>
      </c>
      <c r="W589" s="28">
        <v>64.29</v>
      </c>
      <c r="X589" s="34" t="s">
        <v>54</v>
      </c>
      <c r="Y589" s="33">
        <v>64.29</v>
      </c>
      <c r="AC589" s="28">
        <v>64.29</v>
      </c>
      <c r="AD589" s="34" t="s">
        <v>54</v>
      </c>
      <c r="AE589" s="33">
        <v>64.29</v>
      </c>
      <c r="AN589" s="7" t="s">
        <v>54</v>
      </c>
      <c r="AO589" s="7" t="s">
        <v>55</v>
      </c>
      <c r="AP589" s="7" t="s">
        <v>56</v>
      </c>
      <c r="AT589" s="47" t="s">
        <v>57</v>
      </c>
      <c r="AU589" s="47" t="s">
        <v>57</v>
      </c>
    </row>
    <row r="590" spans="1:47">
      <c r="A590" s="4" t="s">
        <v>48</v>
      </c>
      <c r="C590" s="21"/>
      <c r="D590" s="22" t="s">
        <v>49</v>
      </c>
      <c r="G590" s="23">
        <v>45097</v>
      </c>
      <c r="H590" s="24" t="s">
        <v>1805</v>
      </c>
      <c r="J590" s="28" t="s">
        <v>51</v>
      </c>
      <c r="L590" s="24" t="s">
        <v>1806</v>
      </c>
      <c r="M590" s="1" t="str">
        <f>"342101197009122017"</f>
        <v>342101197009122017</v>
      </c>
      <c r="N590" s="24" t="s">
        <v>1806</v>
      </c>
      <c r="O590" s="1" t="str">
        <f>"342101197009122017"</f>
        <v>342101197009122017</v>
      </c>
      <c r="P590" s="23" t="s">
        <v>1807</v>
      </c>
      <c r="Q590" s="23">
        <v>45098</v>
      </c>
      <c r="R590" s="32">
        <v>45464</v>
      </c>
      <c r="V590" s="33">
        <v>100</v>
      </c>
      <c r="W590" s="28">
        <v>64.29</v>
      </c>
      <c r="X590" s="34" t="s">
        <v>54</v>
      </c>
      <c r="Y590" s="33">
        <v>64.29</v>
      </c>
      <c r="AC590" s="28">
        <v>64.29</v>
      </c>
      <c r="AD590" s="34" t="s">
        <v>54</v>
      </c>
      <c r="AE590" s="33">
        <v>64.29</v>
      </c>
      <c r="AN590" s="7" t="s">
        <v>54</v>
      </c>
      <c r="AO590" s="7" t="s">
        <v>55</v>
      </c>
      <c r="AP590" s="7" t="s">
        <v>56</v>
      </c>
      <c r="AT590" s="47" t="s">
        <v>57</v>
      </c>
      <c r="AU590" s="47" t="s">
        <v>57</v>
      </c>
    </row>
    <row r="591" spans="1:47">
      <c r="A591" s="4" t="s">
        <v>48</v>
      </c>
      <c r="C591" s="21"/>
      <c r="D591" s="22" t="s">
        <v>49</v>
      </c>
      <c r="G591" s="23">
        <v>45097</v>
      </c>
      <c r="H591" s="24" t="s">
        <v>1808</v>
      </c>
      <c r="J591" s="28" t="s">
        <v>51</v>
      </c>
      <c r="L591" s="24" t="s">
        <v>1809</v>
      </c>
      <c r="M591" s="1" t="str">
        <f>"132825196206132412"</f>
        <v>132825196206132412</v>
      </c>
      <c r="N591" s="24" t="s">
        <v>1809</v>
      </c>
      <c r="O591" s="1" t="str">
        <f>"132825196206132412"</f>
        <v>132825196206132412</v>
      </c>
      <c r="P591" s="23" t="s">
        <v>1810</v>
      </c>
      <c r="Q591" s="23">
        <v>45098</v>
      </c>
      <c r="R591" s="32">
        <v>45464</v>
      </c>
      <c r="V591" s="33">
        <v>100</v>
      </c>
      <c r="W591" s="28">
        <v>64.29</v>
      </c>
      <c r="X591" s="34" t="s">
        <v>54</v>
      </c>
      <c r="Y591" s="33">
        <v>64.29</v>
      </c>
      <c r="AC591" s="28">
        <v>64.29</v>
      </c>
      <c r="AD591" s="34" t="s">
        <v>54</v>
      </c>
      <c r="AE591" s="33">
        <v>64.29</v>
      </c>
      <c r="AN591" s="7" t="s">
        <v>54</v>
      </c>
      <c r="AO591" s="7" t="s">
        <v>55</v>
      </c>
      <c r="AP591" s="7" t="s">
        <v>56</v>
      </c>
      <c r="AT591" s="47" t="s">
        <v>57</v>
      </c>
      <c r="AU591" s="47" t="s">
        <v>57</v>
      </c>
    </row>
    <row r="592" spans="1:47">
      <c r="A592" s="4" t="s">
        <v>48</v>
      </c>
      <c r="C592" s="21"/>
      <c r="D592" s="22" t="s">
        <v>49</v>
      </c>
      <c r="G592" s="23">
        <v>45089</v>
      </c>
      <c r="H592" s="24" t="s">
        <v>1811</v>
      </c>
      <c r="J592" s="28" t="s">
        <v>51</v>
      </c>
      <c r="L592" s="24" t="s">
        <v>1812</v>
      </c>
      <c r="M592" s="1" t="str">
        <f>"131024198806130013"</f>
        <v>131024198806130013</v>
      </c>
      <c r="N592" s="24" t="s">
        <v>1812</v>
      </c>
      <c r="O592" s="1" t="str">
        <f>"131024198806130013"</f>
        <v>131024198806130013</v>
      </c>
      <c r="P592" s="23" t="s">
        <v>1813</v>
      </c>
      <c r="Q592" s="23">
        <v>45212</v>
      </c>
      <c r="R592" s="32">
        <v>45578</v>
      </c>
      <c r="V592" s="33">
        <v>100</v>
      </c>
      <c r="W592" s="28">
        <v>64.29</v>
      </c>
      <c r="X592" s="34" t="s">
        <v>54</v>
      </c>
      <c r="Y592" s="33">
        <v>64.29</v>
      </c>
      <c r="AC592" s="28">
        <v>64.29</v>
      </c>
      <c r="AD592" s="34" t="s">
        <v>54</v>
      </c>
      <c r="AE592" s="33">
        <v>64.29</v>
      </c>
      <c r="AN592" s="7" t="s">
        <v>54</v>
      </c>
      <c r="AO592" s="7" t="s">
        <v>55</v>
      </c>
      <c r="AP592" s="7" t="s">
        <v>56</v>
      </c>
      <c r="AT592" s="47" t="s">
        <v>57</v>
      </c>
      <c r="AU592" s="47" t="s">
        <v>57</v>
      </c>
    </row>
    <row r="593" spans="1:47">
      <c r="A593" s="4" t="s">
        <v>48</v>
      </c>
      <c r="C593" s="21"/>
      <c r="D593" s="22" t="s">
        <v>49</v>
      </c>
      <c r="G593" s="23">
        <v>45089</v>
      </c>
      <c r="H593" s="24" t="s">
        <v>1814</v>
      </c>
      <c r="J593" s="28" t="s">
        <v>51</v>
      </c>
      <c r="L593" s="24" t="s">
        <v>1815</v>
      </c>
      <c r="M593" s="1" t="str">
        <f>"232101198009130868"</f>
        <v>232101198009130868</v>
      </c>
      <c r="N593" s="24" t="s">
        <v>1815</v>
      </c>
      <c r="O593" s="1" t="str">
        <f>"232101198009130868"</f>
        <v>232101198009130868</v>
      </c>
      <c r="P593" s="23" t="s">
        <v>1816</v>
      </c>
      <c r="Q593" s="23">
        <v>45212</v>
      </c>
      <c r="R593" s="32">
        <v>45578</v>
      </c>
      <c r="V593" s="33">
        <v>100</v>
      </c>
      <c r="W593" s="28">
        <v>64.29</v>
      </c>
      <c r="X593" s="34" t="s">
        <v>54</v>
      </c>
      <c r="Y593" s="33">
        <v>64.29</v>
      </c>
      <c r="AC593" s="28">
        <v>64.29</v>
      </c>
      <c r="AD593" s="34" t="s">
        <v>54</v>
      </c>
      <c r="AE593" s="33">
        <v>64.29</v>
      </c>
      <c r="AN593" s="7" t="s">
        <v>54</v>
      </c>
      <c r="AO593" s="7" t="s">
        <v>55</v>
      </c>
      <c r="AP593" s="7" t="s">
        <v>56</v>
      </c>
      <c r="AT593" s="47" t="s">
        <v>57</v>
      </c>
      <c r="AU593" s="47" t="s">
        <v>57</v>
      </c>
    </row>
    <row r="594" spans="1:47">
      <c r="A594" s="4" t="s">
        <v>48</v>
      </c>
      <c r="C594" s="21"/>
      <c r="D594" s="22" t="s">
        <v>49</v>
      </c>
      <c r="G594" s="23">
        <v>45090</v>
      </c>
      <c r="H594" s="24" t="s">
        <v>1817</v>
      </c>
      <c r="J594" s="28" t="s">
        <v>51</v>
      </c>
      <c r="L594" s="24" t="s">
        <v>1818</v>
      </c>
      <c r="M594" s="1" t="str">
        <f>"132825196303082453"</f>
        <v>132825196303082453</v>
      </c>
      <c r="N594" s="24" t="s">
        <v>1818</v>
      </c>
      <c r="O594" s="1" t="str">
        <f>"132825196303082453"</f>
        <v>132825196303082453</v>
      </c>
      <c r="P594" s="23" t="s">
        <v>1819</v>
      </c>
      <c r="Q594" s="23">
        <v>45091</v>
      </c>
      <c r="R594" s="32">
        <v>45457</v>
      </c>
      <c r="V594" s="33">
        <v>100</v>
      </c>
      <c r="W594" s="28">
        <v>64.29</v>
      </c>
      <c r="X594" s="34" t="s">
        <v>54</v>
      </c>
      <c r="Y594" s="33">
        <v>64.29</v>
      </c>
      <c r="AC594" s="28">
        <v>64.29</v>
      </c>
      <c r="AD594" s="34" t="s">
        <v>54</v>
      </c>
      <c r="AE594" s="33">
        <v>64.29</v>
      </c>
      <c r="AN594" s="7" t="s">
        <v>54</v>
      </c>
      <c r="AO594" s="7" t="s">
        <v>55</v>
      </c>
      <c r="AP594" s="7" t="s">
        <v>56</v>
      </c>
      <c r="AT594" s="47" t="s">
        <v>57</v>
      </c>
      <c r="AU594" s="47" t="s">
        <v>57</v>
      </c>
    </row>
    <row r="595" spans="1:47">
      <c r="A595" s="4" t="s">
        <v>48</v>
      </c>
      <c r="C595" s="21"/>
      <c r="D595" s="22" t="s">
        <v>49</v>
      </c>
      <c r="G595" s="23">
        <v>45089</v>
      </c>
      <c r="H595" s="24" t="s">
        <v>1820</v>
      </c>
      <c r="J595" s="28" t="s">
        <v>51</v>
      </c>
      <c r="L595" s="24" t="s">
        <v>1821</v>
      </c>
      <c r="M595" s="1" t="str">
        <f>"340822197103200729"</f>
        <v>340822197103200729</v>
      </c>
      <c r="N595" s="24" t="s">
        <v>1821</v>
      </c>
      <c r="O595" s="1" t="str">
        <f>"340822197103200729"</f>
        <v>340822197103200729</v>
      </c>
      <c r="P595" s="23" t="s">
        <v>1822</v>
      </c>
      <c r="Q595" s="23">
        <v>45090</v>
      </c>
      <c r="R595" s="32">
        <v>45456</v>
      </c>
      <c r="V595" s="33">
        <v>100</v>
      </c>
      <c r="W595" s="28">
        <v>64.29</v>
      </c>
      <c r="X595" s="34" t="s">
        <v>54</v>
      </c>
      <c r="Y595" s="33">
        <v>64.29</v>
      </c>
      <c r="AC595" s="28">
        <v>64.29</v>
      </c>
      <c r="AD595" s="34" t="s">
        <v>54</v>
      </c>
      <c r="AE595" s="33">
        <v>64.29</v>
      </c>
      <c r="AN595" s="7" t="s">
        <v>54</v>
      </c>
      <c r="AO595" s="7" t="s">
        <v>55</v>
      </c>
      <c r="AP595" s="7" t="s">
        <v>56</v>
      </c>
      <c r="AT595" s="47" t="s">
        <v>57</v>
      </c>
      <c r="AU595" s="47" t="s">
        <v>57</v>
      </c>
    </row>
    <row r="596" spans="1:47">
      <c r="A596" s="4" t="s">
        <v>48</v>
      </c>
      <c r="C596" s="21"/>
      <c r="D596" s="22" t="s">
        <v>49</v>
      </c>
      <c r="G596" s="23">
        <v>45089</v>
      </c>
      <c r="H596" s="24" t="s">
        <v>1823</v>
      </c>
      <c r="J596" s="28" t="s">
        <v>51</v>
      </c>
      <c r="L596" s="24" t="s">
        <v>1824</v>
      </c>
      <c r="M596" s="1" t="str">
        <f>"341221197301208096"</f>
        <v>341221197301208096</v>
      </c>
      <c r="N596" s="24" t="s">
        <v>1824</v>
      </c>
      <c r="O596" s="1" t="str">
        <f>"341221197301208096"</f>
        <v>341221197301208096</v>
      </c>
      <c r="P596" s="23" t="s">
        <v>1825</v>
      </c>
      <c r="Q596" s="23">
        <v>45090</v>
      </c>
      <c r="R596" s="32">
        <v>45456</v>
      </c>
      <c r="V596" s="33">
        <v>100</v>
      </c>
      <c r="W596" s="28">
        <v>64.29</v>
      </c>
      <c r="X596" s="34" t="s">
        <v>54</v>
      </c>
      <c r="Y596" s="33">
        <v>64.29</v>
      </c>
      <c r="AC596" s="28">
        <v>64.29</v>
      </c>
      <c r="AD596" s="34" t="s">
        <v>54</v>
      </c>
      <c r="AE596" s="33">
        <v>64.29</v>
      </c>
      <c r="AN596" s="7" t="s">
        <v>54</v>
      </c>
      <c r="AO596" s="7" t="s">
        <v>55</v>
      </c>
      <c r="AP596" s="7" t="s">
        <v>56</v>
      </c>
      <c r="AT596" s="47" t="s">
        <v>57</v>
      </c>
      <c r="AU596" s="47" t="s">
        <v>57</v>
      </c>
    </row>
    <row r="597" spans="1:47">
      <c r="A597" s="4" t="s">
        <v>48</v>
      </c>
      <c r="C597" s="21"/>
      <c r="D597" s="22" t="s">
        <v>49</v>
      </c>
      <c r="G597" s="23">
        <v>45075</v>
      </c>
      <c r="H597" s="24" t="s">
        <v>1826</v>
      </c>
      <c r="J597" s="28" t="s">
        <v>51</v>
      </c>
      <c r="L597" s="24" t="s">
        <v>1827</v>
      </c>
      <c r="M597" s="1" t="str">
        <f>"341221199006066047"</f>
        <v>341221199006066047</v>
      </c>
      <c r="N597" s="24" t="s">
        <v>1827</v>
      </c>
      <c r="O597" s="1" t="str">
        <f>"341221199006066047"</f>
        <v>341221199006066047</v>
      </c>
      <c r="P597" s="23" t="s">
        <v>1828</v>
      </c>
      <c r="Q597" s="23">
        <v>45092</v>
      </c>
      <c r="R597" s="32">
        <v>45458</v>
      </c>
      <c r="V597" s="33">
        <v>100</v>
      </c>
      <c r="W597" s="28">
        <v>64.29</v>
      </c>
      <c r="X597" s="34" t="s">
        <v>54</v>
      </c>
      <c r="Y597" s="33">
        <v>64.29</v>
      </c>
      <c r="AC597" s="28">
        <v>64.29</v>
      </c>
      <c r="AD597" s="34" t="s">
        <v>54</v>
      </c>
      <c r="AE597" s="33">
        <v>64.29</v>
      </c>
      <c r="AN597" s="7" t="s">
        <v>54</v>
      </c>
      <c r="AO597" s="7" t="s">
        <v>55</v>
      </c>
      <c r="AP597" s="7" t="s">
        <v>56</v>
      </c>
      <c r="AT597" s="47" t="s">
        <v>57</v>
      </c>
      <c r="AU597" s="47" t="s">
        <v>57</v>
      </c>
    </row>
    <row r="598" spans="1:47">
      <c r="A598" s="4" t="s">
        <v>48</v>
      </c>
      <c r="C598" s="21"/>
      <c r="D598" s="22" t="s">
        <v>49</v>
      </c>
      <c r="G598" s="23">
        <v>45075</v>
      </c>
      <c r="H598" s="24" t="s">
        <v>1829</v>
      </c>
      <c r="J598" s="28" t="s">
        <v>51</v>
      </c>
      <c r="L598" s="24" t="s">
        <v>1830</v>
      </c>
      <c r="M598" s="1" t="str">
        <f>"131002196408284212"</f>
        <v>131002196408284212</v>
      </c>
      <c r="N598" s="24" t="s">
        <v>1830</v>
      </c>
      <c r="O598" s="1" t="str">
        <f>"131002196408284212"</f>
        <v>131002196408284212</v>
      </c>
      <c r="P598" s="23" t="s">
        <v>1831</v>
      </c>
      <c r="Q598" s="23">
        <v>45076</v>
      </c>
      <c r="R598" s="32">
        <v>45442</v>
      </c>
      <c r="V598" s="33">
        <v>100</v>
      </c>
      <c r="W598" s="28">
        <v>64.29</v>
      </c>
      <c r="X598" s="34" t="s">
        <v>54</v>
      </c>
      <c r="Y598" s="33">
        <v>64.29</v>
      </c>
      <c r="AC598" s="28">
        <v>64.29</v>
      </c>
      <c r="AD598" s="34" t="s">
        <v>54</v>
      </c>
      <c r="AE598" s="33">
        <v>64.29</v>
      </c>
      <c r="AN598" s="7" t="s">
        <v>54</v>
      </c>
      <c r="AO598" s="7" t="s">
        <v>55</v>
      </c>
      <c r="AP598" s="7" t="s">
        <v>56</v>
      </c>
      <c r="AT598" s="47" t="s">
        <v>57</v>
      </c>
      <c r="AU598" s="47" t="s">
        <v>57</v>
      </c>
    </row>
    <row r="599" spans="1:47">
      <c r="A599" s="4" t="s">
        <v>48</v>
      </c>
      <c r="C599" s="21"/>
      <c r="D599" s="22" t="s">
        <v>49</v>
      </c>
      <c r="G599" s="23">
        <v>45075</v>
      </c>
      <c r="H599" s="24" t="s">
        <v>1832</v>
      </c>
      <c r="J599" s="28" t="s">
        <v>51</v>
      </c>
      <c r="L599" s="24" t="s">
        <v>1833</v>
      </c>
      <c r="M599" s="1" t="str">
        <f>"341221199112045805"</f>
        <v>341221199112045805</v>
      </c>
      <c r="N599" s="24" t="s">
        <v>1833</v>
      </c>
      <c r="O599" s="1" t="str">
        <f>"341221199112045805"</f>
        <v>341221199112045805</v>
      </c>
      <c r="P599" s="23" t="s">
        <v>1834</v>
      </c>
      <c r="Q599" s="23">
        <v>45076</v>
      </c>
      <c r="R599" s="32">
        <v>45442</v>
      </c>
      <c r="V599" s="33">
        <v>100</v>
      </c>
      <c r="W599" s="28">
        <v>64.29</v>
      </c>
      <c r="X599" s="34" t="s">
        <v>54</v>
      </c>
      <c r="Y599" s="33">
        <v>64.29</v>
      </c>
      <c r="AC599" s="28">
        <v>64.29</v>
      </c>
      <c r="AD599" s="34" t="s">
        <v>54</v>
      </c>
      <c r="AE599" s="33">
        <v>64.29</v>
      </c>
      <c r="AN599" s="7" t="s">
        <v>54</v>
      </c>
      <c r="AO599" s="7" t="s">
        <v>55</v>
      </c>
      <c r="AP599" s="7" t="s">
        <v>56</v>
      </c>
      <c r="AT599" s="47" t="s">
        <v>57</v>
      </c>
      <c r="AU599" s="47" t="s">
        <v>57</v>
      </c>
    </row>
    <row r="600" spans="1:47">
      <c r="A600" s="4" t="s">
        <v>48</v>
      </c>
      <c r="C600" s="21"/>
      <c r="D600" s="22" t="s">
        <v>49</v>
      </c>
      <c r="G600" s="23">
        <v>45075</v>
      </c>
      <c r="H600" s="24" t="s">
        <v>1835</v>
      </c>
      <c r="J600" s="28" t="s">
        <v>51</v>
      </c>
      <c r="L600" s="24" t="s">
        <v>1836</v>
      </c>
      <c r="M600" s="1" t="str">
        <f>"132825196404182410"</f>
        <v>132825196404182410</v>
      </c>
      <c r="N600" s="24" t="s">
        <v>1836</v>
      </c>
      <c r="O600" s="1" t="str">
        <f>"132825196404182410"</f>
        <v>132825196404182410</v>
      </c>
      <c r="P600" s="23" t="s">
        <v>1837</v>
      </c>
      <c r="Q600" s="23">
        <v>45229</v>
      </c>
      <c r="R600" s="32">
        <v>45595</v>
      </c>
      <c r="V600" s="33">
        <v>100</v>
      </c>
      <c r="W600" s="28">
        <v>64.29</v>
      </c>
      <c r="X600" s="34" t="s">
        <v>54</v>
      </c>
      <c r="Y600" s="33">
        <v>64.29</v>
      </c>
      <c r="AC600" s="28">
        <v>64.29</v>
      </c>
      <c r="AD600" s="34" t="s">
        <v>54</v>
      </c>
      <c r="AE600" s="33">
        <v>64.29</v>
      </c>
      <c r="AN600" s="7" t="s">
        <v>54</v>
      </c>
      <c r="AO600" s="7" t="s">
        <v>55</v>
      </c>
      <c r="AP600" s="7" t="s">
        <v>56</v>
      </c>
      <c r="AT600" s="47" t="s">
        <v>57</v>
      </c>
      <c r="AU600" s="47" t="s">
        <v>57</v>
      </c>
    </row>
    <row r="601" spans="1:47">
      <c r="A601" s="4" t="s">
        <v>48</v>
      </c>
      <c r="C601" s="21"/>
      <c r="D601" s="22" t="s">
        <v>49</v>
      </c>
      <c r="G601" s="23">
        <v>45076</v>
      </c>
      <c r="H601" s="24" t="s">
        <v>1838</v>
      </c>
      <c r="J601" s="28" t="s">
        <v>51</v>
      </c>
      <c r="L601" s="24" t="s">
        <v>1839</v>
      </c>
      <c r="M601" s="1" t="str">
        <f>"341221199711166625"</f>
        <v>341221199711166625</v>
      </c>
      <c r="N601" s="24" t="s">
        <v>1839</v>
      </c>
      <c r="O601" s="1" t="str">
        <f>"341221199711166625"</f>
        <v>341221199711166625</v>
      </c>
      <c r="P601" s="23" t="s">
        <v>1840</v>
      </c>
      <c r="Q601" s="23">
        <v>45170</v>
      </c>
      <c r="R601" s="32">
        <v>45536</v>
      </c>
      <c r="V601" s="33">
        <v>100</v>
      </c>
      <c r="W601" s="28">
        <v>64.29</v>
      </c>
      <c r="X601" s="34" t="s">
        <v>54</v>
      </c>
      <c r="Y601" s="33">
        <v>64.29</v>
      </c>
      <c r="AC601" s="28">
        <v>64.29</v>
      </c>
      <c r="AD601" s="34" t="s">
        <v>54</v>
      </c>
      <c r="AE601" s="33">
        <v>64.29</v>
      </c>
      <c r="AN601" s="7" t="s">
        <v>54</v>
      </c>
      <c r="AO601" s="7" t="s">
        <v>55</v>
      </c>
      <c r="AP601" s="7" t="s">
        <v>56</v>
      </c>
      <c r="AT601" s="47" t="s">
        <v>57</v>
      </c>
      <c r="AU601" s="47" t="s">
        <v>57</v>
      </c>
    </row>
    <row r="602" spans="1:47">
      <c r="A602" s="4" t="s">
        <v>48</v>
      </c>
      <c r="C602" s="21"/>
      <c r="D602" s="22" t="s">
        <v>49</v>
      </c>
      <c r="G602" s="23">
        <v>45083</v>
      </c>
      <c r="H602" s="24" t="s">
        <v>1841</v>
      </c>
      <c r="J602" s="28" t="s">
        <v>51</v>
      </c>
      <c r="L602" s="24" t="s">
        <v>1842</v>
      </c>
      <c r="M602" s="1" t="str">
        <f>"341221199501102834"</f>
        <v>341221199501102834</v>
      </c>
      <c r="N602" s="24" t="s">
        <v>1842</v>
      </c>
      <c r="O602" s="1" t="str">
        <f>"341221199501102834"</f>
        <v>341221199501102834</v>
      </c>
      <c r="P602" s="23" t="s">
        <v>1843</v>
      </c>
      <c r="Q602" s="23">
        <v>45084</v>
      </c>
      <c r="R602" s="32">
        <v>45450</v>
      </c>
      <c r="V602" s="33">
        <v>600</v>
      </c>
      <c r="W602" s="28">
        <v>64.29</v>
      </c>
      <c r="X602" s="34" t="s">
        <v>54</v>
      </c>
      <c r="Y602" s="33">
        <v>385.74</v>
      </c>
      <c r="AC602" s="28">
        <v>64.29</v>
      </c>
      <c r="AD602" s="34" t="s">
        <v>54</v>
      </c>
      <c r="AE602" s="33">
        <v>385.74</v>
      </c>
      <c r="AN602" s="7" t="s">
        <v>54</v>
      </c>
      <c r="AO602" s="7" t="s">
        <v>55</v>
      </c>
      <c r="AP602" s="7" t="s">
        <v>56</v>
      </c>
      <c r="AT602" s="47" t="s">
        <v>57</v>
      </c>
      <c r="AU602" s="47" t="s">
        <v>57</v>
      </c>
    </row>
    <row r="603" spans="1:47">
      <c r="A603" s="4" t="s">
        <v>48</v>
      </c>
      <c r="C603" s="21"/>
      <c r="D603" s="22" t="s">
        <v>49</v>
      </c>
      <c r="G603" s="23">
        <v>45076</v>
      </c>
      <c r="H603" s="24" t="s">
        <v>1844</v>
      </c>
      <c r="J603" s="28" t="s">
        <v>51</v>
      </c>
      <c r="L603" s="24" t="s">
        <v>1845</v>
      </c>
      <c r="M603" s="1" t="str">
        <f>"132825196305182415"</f>
        <v>132825196305182415</v>
      </c>
      <c r="N603" s="24" t="s">
        <v>1845</v>
      </c>
      <c r="O603" s="1" t="str">
        <f>"132825196305182415"</f>
        <v>132825196305182415</v>
      </c>
      <c r="P603" s="23" t="s">
        <v>1846</v>
      </c>
      <c r="Q603" s="23">
        <v>45077</v>
      </c>
      <c r="R603" s="32">
        <v>45443</v>
      </c>
      <c r="V603" s="33">
        <v>600</v>
      </c>
      <c r="W603" s="28">
        <v>64.29</v>
      </c>
      <c r="X603" s="34" t="s">
        <v>54</v>
      </c>
      <c r="Y603" s="33">
        <v>385.74</v>
      </c>
      <c r="AC603" s="28">
        <v>64.29</v>
      </c>
      <c r="AD603" s="34" t="s">
        <v>54</v>
      </c>
      <c r="AE603" s="33">
        <v>385.74</v>
      </c>
      <c r="AN603" s="7" t="s">
        <v>54</v>
      </c>
      <c r="AO603" s="7" t="s">
        <v>55</v>
      </c>
      <c r="AP603" s="7" t="s">
        <v>56</v>
      </c>
      <c r="AT603" s="47" t="s">
        <v>57</v>
      </c>
      <c r="AU603" s="47" t="s">
        <v>57</v>
      </c>
    </row>
    <row r="604" spans="1:47">
      <c r="A604" s="4" t="s">
        <v>48</v>
      </c>
      <c r="C604" s="21"/>
      <c r="D604" s="22" t="s">
        <v>49</v>
      </c>
      <c r="G604" s="23">
        <v>45097</v>
      </c>
      <c r="H604" s="24" t="s">
        <v>1847</v>
      </c>
      <c r="J604" s="28" t="s">
        <v>51</v>
      </c>
      <c r="L604" s="24" t="s">
        <v>1848</v>
      </c>
      <c r="M604" s="1" t="str">
        <f>"210522199606054616"</f>
        <v>210522199606054616</v>
      </c>
      <c r="N604" s="24" t="s">
        <v>1848</v>
      </c>
      <c r="O604" s="1" t="str">
        <f>"210522199606054616"</f>
        <v>210522199606054616</v>
      </c>
      <c r="P604" s="23" t="s">
        <v>1849</v>
      </c>
      <c r="Q604" s="23">
        <v>45220</v>
      </c>
      <c r="R604" s="32">
        <v>45586</v>
      </c>
      <c r="V604" s="33">
        <v>100</v>
      </c>
      <c r="W604" s="28">
        <v>64.29</v>
      </c>
      <c r="X604" s="34" t="s">
        <v>54</v>
      </c>
      <c r="Y604" s="33">
        <v>64.29</v>
      </c>
      <c r="AC604" s="28">
        <v>64.29</v>
      </c>
      <c r="AD604" s="34" t="s">
        <v>54</v>
      </c>
      <c r="AE604" s="33">
        <v>64.29</v>
      </c>
      <c r="AN604" s="7" t="s">
        <v>54</v>
      </c>
      <c r="AO604" s="7" t="s">
        <v>55</v>
      </c>
      <c r="AP604" s="7" t="s">
        <v>56</v>
      </c>
      <c r="AT604" s="47" t="s">
        <v>57</v>
      </c>
      <c r="AU604" s="47" t="s">
        <v>57</v>
      </c>
    </row>
    <row r="605" spans="1:47">
      <c r="A605" s="4" t="s">
        <v>48</v>
      </c>
      <c r="C605" s="21"/>
      <c r="D605" s="22" t="s">
        <v>49</v>
      </c>
      <c r="G605" s="23">
        <v>45098</v>
      </c>
      <c r="H605" s="24" t="s">
        <v>1850</v>
      </c>
      <c r="J605" s="28" t="s">
        <v>51</v>
      </c>
      <c r="L605" s="24" t="s">
        <v>1851</v>
      </c>
      <c r="M605" s="1" t="str">
        <f>"34122119961016441X"</f>
        <v>34122119961016441X</v>
      </c>
      <c r="N605" s="24" t="s">
        <v>1851</v>
      </c>
      <c r="O605" s="1" t="str">
        <f>"34122119961016441X"</f>
        <v>34122119961016441X</v>
      </c>
      <c r="P605" s="23" t="s">
        <v>1852</v>
      </c>
      <c r="Q605" s="23">
        <v>45156</v>
      </c>
      <c r="R605" s="32">
        <v>45522</v>
      </c>
      <c r="V605" s="33">
        <v>100</v>
      </c>
      <c r="W605" s="28">
        <v>64.29</v>
      </c>
      <c r="X605" s="34" t="s">
        <v>54</v>
      </c>
      <c r="Y605" s="33">
        <v>64.29</v>
      </c>
      <c r="AC605" s="28">
        <v>64.29</v>
      </c>
      <c r="AD605" s="34" t="s">
        <v>54</v>
      </c>
      <c r="AE605" s="33">
        <v>64.29</v>
      </c>
      <c r="AN605" s="7" t="s">
        <v>54</v>
      </c>
      <c r="AO605" s="7" t="s">
        <v>55</v>
      </c>
      <c r="AP605" s="7" t="s">
        <v>56</v>
      </c>
      <c r="AT605" s="47" t="s">
        <v>57</v>
      </c>
      <c r="AU605" s="47" t="s">
        <v>57</v>
      </c>
    </row>
    <row r="606" spans="1:47">
      <c r="A606" s="4" t="s">
        <v>48</v>
      </c>
      <c r="C606" s="21"/>
      <c r="D606" s="22" t="s">
        <v>49</v>
      </c>
      <c r="G606" s="23">
        <v>45097</v>
      </c>
      <c r="H606" s="24" t="s">
        <v>1853</v>
      </c>
      <c r="J606" s="28" t="s">
        <v>51</v>
      </c>
      <c r="L606" s="24" t="s">
        <v>1854</v>
      </c>
      <c r="M606" s="1" t="str">
        <f>"132826197007124613"</f>
        <v>132826197007124613</v>
      </c>
      <c r="N606" s="24" t="s">
        <v>1854</v>
      </c>
      <c r="O606" s="1" t="str">
        <f>"132826197007124613"</f>
        <v>132826197007124613</v>
      </c>
      <c r="P606" s="23" t="s">
        <v>1855</v>
      </c>
      <c r="Q606" s="23">
        <v>45166</v>
      </c>
      <c r="R606" s="32">
        <v>45532</v>
      </c>
      <c r="V606" s="33">
        <v>100</v>
      </c>
      <c r="W606" s="28">
        <v>64.29</v>
      </c>
      <c r="X606" s="34" t="s">
        <v>54</v>
      </c>
      <c r="Y606" s="33">
        <v>64.29</v>
      </c>
      <c r="AC606" s="28">
        <v>64.29</v>
      </c>
      <c r="AD606" s="34" t="s">
        <v>54</v>
      </c>
      <c r="AE606" s="33">
        <v>64.29</v>
      </c>
      <c r="AN606" s="7" t="s">
        <v>54</v>
      </c>
      <c r="AO606" s="7" t="s">
        <v>55</v>
      </c>
      <c r="AP606" s="7" t="s">
        <v>56</v>
      </c>
      <c r="AT606" s="47" t="s">
        <v>57</v>
      </c>
      <c r="AU606" s="47" t="s">
        <v>57</v>
      </c>
    </row>
    <row r="607" spans="1:47">
      <c r="A607" s="4" t="s">
        <v>48</v>
      </c>
      <c r="C607" s="21"/>
      <c r="D607" s="22" t="s">
        <v>49</v>
      </c>
      <c r="G607" s="23">
        <v>45096</v>
      </c>
      <c r="H607" s="24" t="s">
        <v>1856</v>
      </c>
      <c r="J607" s="28" t="s">
        <v>51</v>
      </c>
      <c r="L607" s="24" t="s">
        <v>1857</v>
      </c>
      <c r="M607" s="1" t="str">
        <f>"341221198107053806"</f>
        <v>341221198107053806</v>
      </c>
      <c r="N607" s="24" t="s">
        <v>1857</v>
      </c>
      <c r="O607" s="1" t="str">
        <f>"341221198107053806"</f>
        <v>341221198107053806</v>
      </c>
      <c r="P607" s="23" t="s">
        <v>1858</v>
      </c>
      <c r="Q607" s="23">
        <v>45219</v>
      </c>
      <c r="R607" s="32">
        <v>45585</v>
      </c>
      <c r="V607" s="33">
        <v>100</v>
      </c>
      <c r="W607" s="28">
        <v>64.29</v>
      </c>
      <c r="X607" s="34" t="s">
        <v>54</v>
      </c>
      <c r="Y607" s="33">
        <v>64.29</v>
      </c>
      <c r="AC607" s="28">
        <v>64.29</v>
      </c>
      <c r="AD607" s="34" t="s">
        <v>54</v>
      </c>
      <c r="AE607" s="33">
        <v>64.29</v>
      </c>
      <c r="AN607" s="7" t="s">
        <v>54</v>
      </c>
      <c r="AO607" s="7" t="s">
        <v>55</v>
      </c>
      <c r="AP607" s="7" t="s">
        <v>56</v>
      </c>
      <c r="AT607" s="47" t="s">
        <v>57</v>
      </c>
      <c r="AU607" s="47" t="s">
        <v>57</v>
      </c>
    </row>
    <row r="608" spans="1:47">
      <c r="A608" s="4" t="s">
        <v>48</v>
      </c>
      <c r="C608" s="21"/>
      <c r="D608" s="22" t="s">
        <v>49</v>
      </c>
      <c r="G608" s="23">
        <v>45085</v>
      </c>
      <c r="H608" s="24" t="s">
        <v>1859</v>
      </c>
      <c r="J608" s="28" t="s">
        <v>51</v>
      </c>
      <c r="L608" s="24" t="s">
        <v>1860</v>
      </c>
      <c r="M608" s="1" t="str">
        <f>"132825195710152418"</f>
        <v>132825195710152418</v>
      </c>
      <c r="N608" s="24" t="s">
        <v>1860</v>
      </c>
      <c r="O608" s="1" t="str">
        <f>"132825195710152418"</f>
        <v>132825195710152418</v>
      </c>
      <c r="P608" s="23" t="s">
        <v>1861</v>
      </c>
      <c r="Q608" s="23">
        <v>45086</v>
      </c>
      <c r="R608" s="32">
        <v>45452</v>
      </c>
      <c r="V608" s="33">
        <v>100</v>
      </c>
      <c r="W608" s="28">
        <v>64.29</v>
      </c>
      <c r="X608" s="34" t="s">
        <v>54</v>
      </c>
      <c r="Y608" s="33">
        <v>64.29</v>
      </c>
      <c r="AC608" s="28">
        <v>64.29</v>
      </c>
      <c r="AD608" s="34" t="s">
        <v>54</v>
      </c>
      <c r="AE608" s="33">
        <v>64.29</v>
      </c>
      <c r="AN608" s="7" t="s">
        <v>54</v>
      </c>
      <c r="AO608" s="7" t="s">
        <v>55</v>
      </c>
      <c r="AP608" s="7" t="s">
        <v>56</v>
      </c>
      <c r="AT608" s="47" t="s">
        <v>57</v>
      </c>
      <c r="AU608" s="47" t="s">
        <v>57</v>
      </c>
    </row>
    <row r="609" spans="1:47">
      <c r="A609" s="4" t="s">
        <v>48</v>
      </c>
      <c r="C609" s="21"/>
      <c r="D609" s="22" t="s">
        <v>49</v>
      </c>
      <c r="G609" s="23">
        <v>45087</v>
      </c>
      <c r="H609" s="24" t="s">
        <v>1862</v>
      </c>
      <c r="J609" s="28" t="s">
        <v>51</v>
      </c>
      <c r="L609" s="24" t="s">
        <v>1863</v>
      </c>
      <c r="M609" s="1" t="str">
        <f>"12022219940203501X"</f>
        <v>12022219940203501X</v>
      </c>
      <c r="N609" s="24" t="s">
        <v>1863</v>
      </c>
      <c r="O609" s="1" t="str">
        <f>"12022219940203501X"</f>
        <v>12022219940203501X</v>
      </c>
      <c r="P609" s="23" t="s">
        <v>1864</v>
      </c>
      <c r="Q609" s="23">
        <v>45088</v>
      </c>
      <c r="R609" s="32">
        <v>45454</v>
      </c>
      <c r="V609" s="33">
        <v>100</v>
      </c>
      <c r="W609" s="28">
        <v>64.29</v>
      </c>
      <c r="X609" s="34" t="s">
        <v>54</v>
      </c>
      <c r="Y609" s="33">
        <v>64.29</v>
      </c>
      <c r="AC609" s="28">
        <v>64.29</v>
      </c>
      <c r="AD609" s="34" t="s">
        <v>54</v>
      </c>
      <c r="AE609" s="33">
        <v>64.29</v>
      </c>
      <c r="AN609" s="7" t="s">
        <v>54</v>
      </c>
      <c r="AO609" s="7" t="s">
        <v>55</v>
      </c>
      <c r="AP609" s="7" t="s">
        <v>56</v>
      </c>
      <c r="AT609" s="47" t="s">
        <v>57</v>
      </c>
      <c r="AU609" s="47" t="s">
        <v>57</v>
      </c>
    </row>
    <row r="610" spans="1:47">
      <c r="A610" s="4" t="s">
        <v>48</v>
      </c>
      <c r="C610" s="21"/>
      <c r="D610" s="22" t="s">
        <v>49</v>
      </c>
      <c r="G610" s="23">
        <v>45087</v>
      </c>
      <c r="H610" s="24" t="s">
        <v>1865</v>
      </c>
      <c r="J610" s="28" t="s">
        <v>51</v>
      </c>
      <c r="L610" s="24" t="s">
        <v>1866</v>
      </c>
      <c r="M610" s="1" t="str">
        <f>"342122198110033314"</f>
        <v>342122198110033314</v>
      </c>
      <c r="N610" s="24" t="s">
        <v>1866</v>
      </c>
      <c r="O610" s="1" t="str">
        <f>"342122198110033314"</f>
        <v>342122198110033314</v>
      </c>
      <c r="P610" s="23" t="s">
        <v>1867</v>
      </c>
      <c r="Q610" s="23">
        <v>45088</v>
      </c>
      <c r="R610" s="32">
        <v>45454</v>
      </c>
      <c r="V610" s="33">
        <v>100</v>
      </c>
      <c r="W610" s="28">
        <v>64.29</v>
      </c>
      <c r="X610" s="34" t="s">
        <v>54</v>
      </c>
      <c r="Y610" s="33">
        <v>64.29</v>
      </c>
      <c r="AC610" s="28">
        <v>64.29</v>
      </c>
      <c r="AD610" s="34" t="s">
        <v>54</v>
      </c>
      <c r="AE610" s="33">
        <v>64.29</v>
      </c>
      <c r="AN610" s="7" t="s">
        <v>54</v>
      </c>
      <c r="AO610" s="7" t="s">
        <v>55</v>
      </c>
      <c r="AP610" s="7" t="s">
        <v>56</v>
      </c>
      <c r="AT610" s="47" t="s">
        <v>57</v>
      </c>
      <c r="AU610" s="47" t="s">
        <v>57</v>
      </c>
    </row>
    <row r="611" spans="1:47">
      <c r="A611" s="4" t="s">
        <v>48</v>
      </c>
      <c r="C611" s="21"/>
      <c r="D611" s="22" t="s">
        <v>49</v>
      </c>
      <c r="G611" s="23">
        <v>45086</v>
      </c>
      <c r="H611" s="24" t="s">
        <v>1868</v>
      </c>
      <c r="J611" s="28" t="s">
        <v>51</v>
      </c>
      <c r="L611" s="24" t="s">
        <v>1869</v>
      </c>
      <c r="M611" s="1" t="str">
        <f>"132825195708092444"</f>
        <v>132825195708092444</v>
      </c>
      <c r="N611" s="24" t="s">
        <v>1869</v>
      </c>
      <c r="O611" s="1" t="str">
        <f>"132825195708092444"</f>
        <v>132825195708092444</v>
      </c>
      <c r="P611" s="23" t="s">
        <v>1870</v>
      </c>
      <c r="Q611" s="23">
        <v>45087</v>
      </c>
      <c r="R611" s="32">
        <v>45453</v>
      </c>
      <c r="V611" s="33">
        <v>50</v>
      </c>
      <c r="W611" s="28">
        <v>64.29</v>
      </c>
      <c r="X611" s="34" t="s">
        <v>54</v>
      </c>
      <c r="Y611" s="33">
        <v>32.15</v>
      </c>
      <c r="AC611" s="28">
        <v>64.29</v>
      </c>
      <c r="AD611" s="34" t="s">
        <v>54</v>
      </c>
      <c r="AE611" s="33">
        <v>32.15</v>
      </c>
      <c r="AN611" s="7" t="s">
        <v>54</v>
      </c>
      <c r="AO611" s="7" t="s">
        <v>55</v>
      </c>
      <c r="AP611" s="7" t="s">
        <v>56</v>
      </c>
      <c r="AT611" s="47" t="s">
        <v>57</v>
      </c>
      <c r="AU611" s="47" t="s">
        <v>57</v>
      </c>
    </row>
    <row r="612" spans="1:47">
      <c r="A612" s="4" t="s">
        <v>48</v>
      </c>
      <c r="C612" s="21"/>
      <c r="D612" s="22" t="s">
        <v>49</v>
      </c>
      <c r="G612" s="23">
        <v>45085</v>
      </c>
      <c r="H612" s="24" t="s">
        <v>1871</v>
      </c>
      <c r="J612" s="28" t="s">
        <v>51</v>
      </c>
      <c r="L612" s="24" t="s">
        <v>1872</v>
      </c>
      <c r="M612" s="1" t="str">
        <f>"341227199701214417"</f>
        <v>341227199701214417</v>
      </c>
      <c r="N612" s="24" t="s">
        <v>1872</v>
      </c>
      <c r="O612" s="1" t="str">
        <f>"341227199701214417"</f>
        <v>341227199701214417</v>
      </c>
      <c r="P612" s="23" t="s">
        <v>1873</v>
      </c>
      <c r="Q612" s="23">
        <v>45086</v>
      </c>
      <c r="R612" s="32">
        <v>45452</v>
      </c>
      <c r="V612" s="33">
        <v>50</v>
      </c>
      <c r="W612" s="28">
        <v>64.29</v>
      </c>
      <c r="X612" s="34" t="s">
        <v>54</v>
      </c>
      <c r="Y612" s="33">
        <v>32.15</v>
      </c>
      <c r="AC612" s="28">
        <v>64.29</v>
      </c>
      <c r="AD612" s="34" t="s">
        <v>54</v>
      </c>
      <c r="AE612" s="33">
        <v>32.15</v>
      </c>
      <c r="AN612" s="7" t="s">
        <v>54</v>
      </c>
      <c r="AO612" s="7" t="s">
        <v>55</v>
      </c>
      <c r="AP612" s="7" t="s">
        <v>56</v>
      </c>
      <c r="AT612" s="47" t="s">
        <v>57</v>
      </c>
      <c r="AU612" s="47" t="s">
        <v>57</v>
      </c>
    </row>
    <row r="613" spans="1:47">
      <c r="A613" s="4" t="s">
        <v>48</v>
      </c>
      <c r="C613" s="21"/>
      <c r="D613" s="22" t="s">
        <v>49</v>
      </c>
      <c r="G613" s="23">
        <v>45086</v>
      </c>
      <c r="H613" s="24" t="s">
        <v>1874</v>
      </c>
      <c r="J613" s="28" t="s">
        <v>51</v>
      </c>
      <c r="L613" s="24" t="s">
        <v>1875</v>
      </c>
      <c r="M613" s="1" t="str">
        <f>"132825196302112411"</f>
        <v>132825196302112411</v>
      </c>
      <c r="N613" s="24" t="s">
        <v>1875</v>
      </c>
      <c r="O613" s="1" t="str">
        <f>"132825196302112411"</f>
        <v>132825196302112411</v>
      </c>
      <c r="P613" s="23" t="s">
        <v>1876</v>
      </c>
      <c r="Q613" s="23">
        <v>45087</v>
      </c>
      <c r="R613" s="32">
        <v>45453</v>
      </c>
      <c r="V613" s="33">
        <v>50</v>
      </c>
      <c r="W613" s="28">
        <v>64.29</v>
      </c>
      <c r="X613" s="34" t="s">
        <v>54</v>
      </c>
      <c r="Y613" s="33">
        <v>32.15</v>
      </c>
      <c r="AC613" s="28">
        <v>64.29</v>
      </c>
      <c r="AD613" s="34" t="s">
        <v>54</v>
      </c>
      <c r="AE613" s="33">
        <v>32.15</v>
      </c>
      <c r="AN613" s="7" t="s">
        <v>54</v>
      </c>
      <c r="AO613" s="7" t="s">
        <v>55</v>
      </c>
      <c r="AP613" s="7" t="s">
        <v>56</v>
      </c>
      <c r="AT613" s="47" t="s">
        <v>57</v>
      </c>
      <c r="AU613" s="47" t="s">
        <v>57</v>
      </c>
    </row>
    <row r="614" spans="1:47">
      <c r="A614" s="4" t="s">
        <v>48</v>
      </c>
      <c r="C614" s="21"/>
      <c r="D614" s="22" t="s">
        <v>49</v>
      </c>
      <c r="G614" s="23">
        <v>45086</v>
      </c>
      <c r="H614" s="24" t="s">
        <v>1877</v>
      </c>
      <c r="J614" s="28" t="s">
        <v>51</v>
      </c>
      <c r="L614" s="24" t="s">
        <v>1878</v>
      </c>
      <c r="M614" s="1" t="str">
        <f>"230602196512091715"</f>
        <v>230602196512091715</v>
      </c>
      <c r="N614" s="24" t="s">
        <v>1878</v>
      </c>
      <c r="O614" s="1" t="str">
        <f>"230602196512091715"</f>
        <v>230602196512091715</v>
      </c>
      <c r="P614" s="23" t="s">
        <v>1879</v>
      </c>
      <c r="Q614" s="23">
        <v>45087</v>
      </c>
      <c r="R614" s="32">
        <v>45453</v>
      </c>
      <c r="V614" s="33">
        <v>50</v>
      </c>
      <c r="W614" s="28">
        <v>64.29</v>
      </c>
      <c r="X614" s="34" t="s">
        <v>54</v>
      </c>
      <c r="Y614" s="33">
        <v>32.15</v>
      </c>
      <c r="AC614" s="28">
        <v>64.29</v>
      </c>
      <c r="AD614" s="34" t="s">
        <v>54</v>
      </c>
      <c r="AE614" s="33">
        <v>32.15</v>
      </c>
      <c r="AN614" s="7" t="s">
        <v>54</v>
      </c>
      <c r="AO614" s="7" t="s">
        <v>55</v>
      </c>
      <c r="AP614" s="7" t="s">
        <v>56</v>
      </c>
      <c r="AT614" s="47" t="s">
        <v>57</v>
      </c>
      <c r="AU614" s="47" t="s">
        <v>57</v>
      </c>
    </row>
    <row r="615" spans="1:47">
      <c r="A615" s="4" t="s">
        <v>48</v>
      </c>
      <c r="C615" s="21"/>
      <c r="D615" s="22" t="s">
        <v>49</v>
      </c>
      <c r="G615" s="23">
        <v>45098</v>
      </c>
      <c r="H615" s="24" t="s">
        <v>1880</v>
      </c>
      <c r="J615" s="28" t="s">
        <v>51</v>
      </c>
      <c r="L615" s="24" t="s">
        <v>1881</v>
      </c>
      <c r="M615" s="1" t="str">
        <f>"132825196406132425"</f>
        <v>132825196406132425</v>
      </c>
      <c r="N615" s="24" t="s">
        <v>1881</v>
      </c>
      <c r="O615" s="1" t="str">
        <f>"132825196406132425"</f>
        <v>132825196406132425</v>
      </c>
      <c r="P615" s="23" t="s">
        <v>1882</v>
      </c>
      <c r="Q615" s="23">
        <v>45291</v>
      </c>
      <c r="R615" s="32">
        <v>45657</v>
      </c>
      <c r="V615" s="33">
        <v>100</v>
      </c>
      <c r="W615" s="28">
        <v>64.29</v>
      </c>
      <c r="X615" s="34" t="s">
        <v>54</v>
      </c>
      <c r="Y615" s="33">
        <v>64.29</v>
      </c>
      <c r="AC615" s="28">
        <v>64.29</v>
      </c>
      <c r="AD615" s="34" t="s">
        <v>54</v>
      </c>
      <c r="AE615" s="33">
        <v>64.29</v>
      </c>
      <c r="AN615" s="7" t="s">
        <v>54</v>
      </c>
      <c r="AO615" s="7" t="s">
        <v>55</v>
      </c>
      <c r="AP615" s="7" t="s">
        <v>56</v>
      </c>
      <c r="AT615" s="47" t="s">
        <v>57</v>
      </c>
      <c r="AU615" s="47" t="s">
        <v>57</v>
      </c>
    </row>
    <row r="616" spans="1:47">
      <c r="A616" s="4" t="s">
        <v>48</v>
      </c>
      <c r="C616" s="21"/>
      <c r="D616" s="22" t="s">
        <v>49</v>
      </c>
      <c r="G616" s="23">
        <v>45097</v>
      </c>
      <c r="H616" s="24" t="s">
        <v>1883</v>
      </c>
      <c r="J616" s="28" t="s">
        <v>51</v>
      </c>
      <c r="L616" s="24" t="s">
        <v>1884</v>
      </c>
      <c r="M616" s="1" t="str">
        <f>"132529197403104625"</f>
        <v>132529197403104625</v>
      </c>
      <c r="N616" s="24" t="s">
        <v>1884</v>
      </c>
      <c r="O616" s="1" t="str">
        <f>"132529197403104625"</f>
        <v>132529197403104625</v>
      </c>
      <c r="P616" s="23" t="s">
        <v>1855</v>
      </c>
      <c r="Q616" s="23">
        <v>45098</v>
      </c>
      <c r="R616" s="32">
        <v>45464</v>
      </c>
      <c r="V616" s="33">
        <v>100</v>
      </c>
      <c r="W616" s="28">
        <v>64.29</v>
      </c>
      <c r="X616" s="34" t="s">
        <v>54</v>
      </c>
      <c r="Y616" s="33">
        <v>64.29</v>
      </c>
      <c r="AC616" s="28">
        <v>64.29</v>
      </c>
      <c r="AD616" s="34" t="s">
        <v>54</v>
      </c>
      <c r="AE616" s="33">
        <v>64.29</v>
      </c>
      <c r="AN616" s="7" t="s">
        <v>54</v>
      </c>
      <c r="AO616" s="7" t="s">
        <v>55</v>
      </c>
      <c r="AP616" s="7" t="s">
        <v>56</v>
      </c>
      <c r="AT616" s="47" t="s">
        <v>57</v>
      </c>
      <c r="AU616" s="47" t="s">
        <v>57</v>
      </c>
    </row>
    <row r="617" spans="1:47">
      <c r="A617" s="4" t="s">
        <v>48</v>
      </c>
      <c r="C617" s="21"/>
      <c r="D617" s="22" t="s">
        <v>49</v>
      </c>
      <c r="G617" s="23">
        <v>45098</v>
      </c>
      <c r="H617" s="24" t="s">
        <v>1885</v>
      </c>
      <c r="J617" s="28" t="s">
        <v>51</v>
      </c>
      <c r="L617" s="24" t="s">
        <v>1886</v>
      </c>
      <c r="M617" s="1" t="str">
        <f>"341204199203180838"</f>
        <v>341204199203180838</v>
      </c>
      <c r="N617" s="24" t="s">
        <v>1886</v>
      </c>
      <c r="O617" s="1" t="str">
        <f>"341204199203180838"</f>
        <v>341204199203180838</v>
      </c>
      <c r="P617" s="23" t="s">
        <v>1887</v>
      </c>
      <c r="Q617" s="23">
        <v>45099</v>
      </c>
      <c r="R617" s="32">
        <v>45465</v>
      </c>
      <c r="V617" s="33">
        <v>100</v>
      </c>
      <c r="W617" s="28">
        <v>64.29</v>
      </c>
      <c r="X617" s="34" t="s">
        <v>54</v>
      </c>
      <c r="Y617" s="33">
        <v>64.29</v>
      </c>
      <c r="AC617" s="28">
        <v>64.29</v>
      </c>
      <c r="AD617" s="34" t="s">
        <v>54</v>
      </c>
      <c r="AE617" s="33">
        <v>64.29</v>
      </c>
      <c r="AN617" s="7" t="s">
        <v>54</v>
      </c>
      <c r="AO617" s="7" t="s">
        <v>55</v>
      </c>
      <c r="AP617" s="7" t="s">
        <v>56</v>
      </c>
      <c r="AT617" s="47" t="s">
        <v>57</v>
      </c>
      <c r="AU617" s="47" t="s">
        <v>57</v>
      </c>
    </row>
    <row r="618" spans="1:47">
      <c r="A618" s="4" t="s">
        <v>48</v>
      </c>
      <c r="C618" s="21"/>
      <c r="D618" s="22" t="s">
        <v>49</v>
      </c>
      <c r="G618" s="23">
        <v>45097</v>
      </c>
      <c r="H618" s="24" t="s">
        <v>1888</v>
      </c>
      <c r="J618" s="28" t="s">
        <v>51</v>
      </c>
      <c r="L618" s="24" t="s">
        <v>1889</v>
      </c>
      <c r="M618" s="1" t="str">
        <f>"341204198710030936"</f>
        <v>341204198710030936</v>
      </c>
      <c r="N618" s="24" t="s">
        <v>1889</v>
      </c>
      <c r="O618" s="1" t="str">
        <f>"341204198710030936"</f>
        <v>341204198710030936</v>
      </c>
      <c r="P618" s="23" t="s">
        <v>1890</v>
      </c>
      <c r="Q618" s="23">
        <v>45098</v>
      </c>
      <c r="R618" s="32">
        <v>45464</v>
      </c>
      <c r="V618" s="33">
        <v>100</v>
      </c>
      <c r="W618" s="28">
        <v>64.29</v>
      </c>
      <c r="X618" s="34" t="s">
        <v>54</v>
      </c>
      <c r="Y618" s="33">
        <v>64.29</v>
      </c>
      <c r="AC618" s="28">
        <v>64.29</v>
      </c>
      <c r="AD618" s="34" t="s">
        <v>54</v>
      </c>
      <c r="AE618" s="33">
        <v>64.29</v>
      </c>
      <c r="AN618" s="7" t="s">
        <v>54</v>
      </c>
      <c r="AO618" s="7" t="s">
        <v>55</v>
      </c>
      <c r="AP618" s="7" t="s">
        <v>56</v>
      </c>
      <c r="AT618" s="47" t="s">
        <v>57</v>
      </c>
      <c r="AU618" s="47" t="s">
        <v>57</v>
      </c>
    </row>
    <row r="619" spans="1:47">
      <c r="A619" s="4" t="s">
        <v>48</v>
      </c>
      <c r="C619" s="21"/>
      <c r="D619" s="22" t="s">
        <v>49</v>
      </c>
      <c r="G619" s="23">
        <v>45086</v>
      </c>
      <c r="H619" s="24" t="s">
        <v>1891</v>
      </c>
      <c r="J619" s="28" t="s">
        <v>51</v>
      </c>
      <c r="L619" s="24" t="s">
        <v>1892</v>
      </c>
      <c r="M619" s="1" t="str">
        <f>"34120419880817089X"</f>
        <v>34120419880817089X</v>
      </c>
      <c r="N619" s="24" t="s">
        <v>1892</v>
      </c>
      <c r="O619" s="1" t="str">
        <f>"34120419880817089X"</f>
        <v>34120419880817089X</v>
      </c>
      <c r="P619" s="23" t="s">
        <v>1893</v>
      </c>
      <c r="Q619" s="23">
        <v>45270</v>
      </c>
      <c r="R619" s="32">
        <v>45636</v>
      </c>
      <c r="V619" s="33">
        <v>100</v>
      </c>
      <c r="W619" s="28">
        <v>64.29</v>
      </c>
      <c r="X619" s="34" t="s">
        <v>54</v>
      </c>
      <c r="Y619" s="33">
        <v>64.29</v>
      </c>
      <c r="AC619" s="28">
        <v>64.29</v>
      </c>
      <c r="AD619" s="34" t="s">
        <v>54</v>
      </c>
      <c r="AE619" s="33">
        <v>64.29</v>
      </c>
      <c r="AN619" s="7" t="s">
        <v>54</v>
      </c>
      <c r="AO619" s="7" t="s">
        <v>55</v>
      </c>
      <c r="AP619" s="7" t="s">
        <v>56</v>
      </c>
      <c r="AT619" s="47" t="s">
        <v>57</v>
      </c>
      <c r="AU619" s="47" t="s">
        <v>57</v>
      </c>
    </row>
    <row r="620" spans="1:47">
      <c r="A620" s="4" t="s">
        <v>48</v>
      </c>
      <c r="C620" s="21"/>
      <c r="D620" s="22" t="s">
        <v>49</v>
      </c>
      <c r="G620" s="23">
        <v>45088</v>
      </c>
      <c r="H620" s="24" t="s">
        <v>1894</v>
      </c>
      <c r="J620" s="28" t="s">
        <v>51</v>
      </c>
      <c r="L620" s="24" t="s">
        <v>1895</v>
      </c>
      <c r="M620" s="1" t="str">
        <f>"341221199503105537"</f>
        <v>341221199503105537</v>
      </c>
      <c r="N620" s="24" t="s">
        <v>1895</v>
      </c>
      <c r="O620" s="1" t="str">
        <f>"341221199503105537"</f>
        <v>341221199503105537</v>
      </c>
      <c r="P620" s="23" t="s">
        <v>1896</v>
      </c>
      <c r="Q620" s="23">
        <v>45089</v>
      </c>
      <c r="R620" s="32">
        <v>45455</v>
      </c>
      <c r="V620" s="33">
        <v>100</v>
      </c>
      <c r="W620" s="28">
        <v>64.29</v>
      </c>
      <c r="X620" s="34" t="s">
        <v>54</v>
      </c>
      <c r="Y620" s="33">
        <v>64.29</v>
      </c>
      <c r="AC620" s="28">
        <v>64.29</v>
      </c>
      <c r="AD620" s="34" t="s">
        <v>54</v>
      </c>
      <c r="AE620" s="33">
        <v>64.29</v>
      </c>
      <c r="AN620" s="7" t="s">
        <v>54</v>
      </c>
      <c r="AO620" s="7" t="s">
        <v>55</v>
      </c>
      <c r="AP620" s="7" t="s">
        <v>56</v>
      </c>
      <c r="AT620" s="47" t="s">
        <v>57</v>
      </c>
      <c r="AU620" s="47" t="s">
        <v>57</v>
      </c>
    </row>
    <row r="621" spans="1:47">
      <c r="A621" s="4" t="s">
        <v>48</v>
      </c>
      <c r="C621" s="21"/>
      <c r="D621" s="22" t="s">
        <v>49</v>
      </c>
      <c r="G621" s="23">
        <v>45088</v>
      </c>
      <c r="H621" s="24" t="s">
        <v>1897</v>
      </c>
      <c r="J621" s="28" t="s">
        <v>51</v>
      </c>
      <c r="L621" s="24" t="s">
        <v>1898</v>
      </c>
      <c r="M621" s="1" t="str">
        <f>"341221198304208328"</f>
        <v>341221198304208328</v>
      </c>
      <c r="N621" s="24" t="s">
        <v>1898</v>
      </c>
      <c r="O621" s="1" t="str">
        <f>"341221198304208328"</f>
        <v>341221198304208328</v>
      </c>
      <c r="P621" s="23" t="s">
        <v>1899</v>
      </c>
      <c r="Q621" s="23">
        <v>45170</v>
      </c>
      <c r="R621" s="32">
        <v>45536</v>
      </c>
      <c r="V621" s="33">
        <v>100</v>
      </c>
      <c r="W621" s="28">
        <v>64.29</v>
      </c>
      <c r="X621" s="34" t="s">
        <v>54</v>
      </c>
      <c r="Y621" s="33">
        <v>64.29</v>
      </c>
      <c r="AC621" s="28">
        <v>64.29</v>
      </c>
      <c r="AD621" s="34" t="s">
        <v>54</v>
      </c>
      <c r="AE621" s="33">
        <v>64.29</v>
      </c>
      <c r="AN621" s="7" t="s">
        <v>54</v>
      </c>
      <c r="AO621" s="7" t="s">
        <v>55</v>
      </c>
      <c r="AP621" s="7" t="s">
        <v>56</v>
      </c>
      <c r="AT621" s="47" t="s">
        <v>57</v>
      </c>
      <c r="AU621" s="47" t="s">
        <v>57</v>
      </c>
    </row>
    <row r="622" spans="1:47">
      <c r="A622" s="4" t="s">
        <v>48</v>
      </c>
      <c r="C622" s="21"/>
      <c r="D622" s="22" t="s">
        <v>49</v>
      </c>
      <c r="G622" s="23">
        <v>45085</v>
      </c>
      <c r="H622" s="24" t="s">
        <v>1900</v>
      </c>
      <c r="J622" s="28" t="s">
        <v>51</v>
      </c>
      <c r="L622" s="24" t="s">
        <v>1901</v>
      </c>
      <c r="M622" s="1" t="str">
        <f>"341221199412204126"</f>
        <v>341221199412204126</v>
      </c>
      <c r="N622" s="24" t="s">
        <v>1901</v>
      </c>
      <c r="O622" s="1" t="str">
        <f>"341221199412204126"</f>
        <v>341221199412204126</v>
      </c>
      <c r="P622" s="23" t="s">
        <v>1902</v>
      </c>
      <c r="Q622" s="23">
        <v>45291</v>
      </c>
      <c r="R622" s="32">
        <v>45657</v>
      </c>
      <c r="V622" s="33">
        <v>100</v>
      </c>
      <c r="W622" s="28">
        <v>64.29</v>
      </c>
      <c r="X622" s="34" t="s">
        <v>54</v>
      </c>
      <c r="Y622" s="33">
        <v>64.29</v>
      </c>
      <c r="AC622" s="28">
        <v>64.29</v>
      </c>
      <c r="AD622" s="34" t="s">
        <v>54</v>
      </c>
      <c r="AE622" s="33">
        <v>64.29</v>
      </c>
      <c r="AN622" s="7" t="s">
        <v>54</v>
      </c>
      <c r="AO622" s="7" t="s">
        <v>55</v>
      </c>
      <c r="AP622" s="7" t="s">
        <v>56</v>
      </c>
      <c r="AT622" s="47" t="s">
        <v>57</v>
      </c>
      <c r="AU622" s="47" t="s">
        <v>57</v>
      </c>
    </row>
    <row r="623" spans="1:47">
      <c r="A623" s="4" t="s">
        <v>48</v>
      </c>
      <c r="C623" s="21"/>
      <c r="D623" s="22" t="s">
        <v>49</v>
      </c>
      <c r="G623" s="23">
        <v>45072</v>
      </c>
      <c r="H623" s="24" t="s">
        <v>1903</v>
      </c>
      <c r="J623" s="28" t="s">
        <v>51</v>
      </c>
      <c r="L623" s="24" t="s">
        <v>1904</v>
      </c>
      <c r="M623" s="1" t="str">
        <f>"130929198712150072"</f>
        <v>130929198712150072</v>
      </c>
      <c r="N623" s="24" t="s">
        <v>1904</v>
      </c>
      <c r="O623" s="1" t="str">
        <f>"130929198712150072"</f>
        <v>130929198712150072</v>
      </c>
      <c r="P623" s="23" t="s">
        <v>1905</v>
      </c>
      <c r="Q623" s="23">
        <v>45073</v>
      </c>
      <c r="R623" s="32">
        <v>45439</v>
      </c>
      <c r="V623" s="33">
        <v>100</v>
      </c>
      <c r="W623" s="28">
        <v>64.29</v>
      </c>
      <c r="X623" s="34" t="s">
        <v>54</v>
      </c>
      <c r="Y623" s="33">
        <v>64.29</v>
      </c>
      <c r="AC623" s="28">
        <v>64.29</v>
      </c>
      <c r="AD623" s="34" t="s">
        <v>54</v>
      </c>
      <c r="AE623" s="33">
        <v>64.29</v>
      </c>
      <c r="AN623" s="7" t="s">
        <v>54</v>
      </c>
      <c r="AO623" s="7" t="s">
        <v>55</v>
      </c>
      <c r="AP623" s="7" t="s">
        <v>56</v>
      </c>
      <c r="AT623" s="47" t="s">
        <v>57</v>
      </c>
      <c r="AU623" s="47" t="s">
        <v>57</v>
      </c>
    </row>
    <row r="624" spans="1:47">
      <c r="A624" s="4" t="s">
        <v>48</v>
      </c>
      <c r="C624" s="21"/>
      <c r="D624" s="22" t="s">
        <v>49</v>
      </c>
      <c r="G624" s="23">
        <v>45072</v>
      </c>
      <c r="H624" s="24" t="s">
        <v>1906</v>
      </c>
      <c r="J624" s="28" t="s">
        <v>51</v>
      </c>
      <c r="L624" s="24" t="s">
        <v>1907</v>
      </c>
      <c r="M624" s="1" t="str">
        <f>"342122195108028811"</f>
        <v>342122195108028811</v>
      </c>
      <c r="N624" s="24" t="s">
        <v>1907</v>
      </c>
      <c r="O624" s="1" t="str">
        <f>"342122195108028811"</f>
        <v>342122195108028811</v>
      </c>
      <c r="P624" s="23" t="s">
        <v>1908</v>
      </c>
      <c r="Q624" s="23">
        <v>45283</v>
      </c>
      <c r="R624" s="32">
        <v>45649</v>
      </c>
      <c r="V624" s="33">
        <v>100</v>
      </c>
      <c r="W624" s="28">
        <v>64.29</v>
      </c>
      <c r="X624" s="34" t="s">
        <v>54</v>
      </c>
      <c r="Y624" s="33">
        <v>64.29</v>
      </c>
      <c r="AC624" s="28">
        <v>64.29</v>
      </c>
      <c r="AD624" s="34" t="s">
        <v>54</v>
      </c>
      <c r="AE624" s="33">
        <v>64.29</v>
      </c>
      <c r="AN624" s="7" t="s">
        <v>54</v>
      </c>
      <c r="AO624" s="7" t="s">
        <v>55</v>
      </c>
      <c r="AP624" s="7" t="s">
        <v>56</v>
      </c>
      <c r="AT624" s="47" t="s">
        <v>57</v>
      </c>
      <c r="AU624" s="47" t="s">
        <v>57</v>
      </c>
    </row>
    <row r="625" spans="1:47">
      <c r="A625" s="4" t="s">
        <v>48</v>
      </c>
      <c r="C625" s="21"/>
      <c r="D625" s="22" t="s">
        <v>49</v>
      </c>
      <c r="G625" s="23">
        <v>45086</v>
      </c>
      <c r="H625" s="24" t="s">
        <v>1909</v>
      </c>
      <c r="J625" s="28" t="s">
        <v>51</v>
      </c>
      <c r="L625" s="24" t="s">
        <v>1910</v>
      </c>
      <c r="M625" s="1" t="str">
        <f>"130929198204023907"</f>
        <v>130929198204023907</v>
      </c>
      <c r="N625" s="24" t="s">
        <v>1910</v>
      </c>
      <c r="O625" s="1" t="str">
        <f>"130929198204023907"</f>
        <v>130929198204023907</v>
      </c>
      <c r="P625" s="23" t="s">
        <v>1911</v>
      </c>
      <c r="Q625" s="23">
        <v>45087</v>
      </c>
      <c r="R625" s="32">
        <v>45453</v>
      </c>
      <c r="V625" s="33">
        <v>50</v>
      </c>
      <c r="W625" s="28">
        <v>64.29</v>
      </c>
      <c r="X625" s="34" t="s">
        <v>54</v>
      </c>
      <c r="Y625" s="33">
        <v>32.15</v>
      </c>
      <c r="AC625" s="28">
        <v>64.29</v>
      </c>
      <c r="AD625" s="34" t="s">
        <v>54</v>
      </c>
      <c r="AE625" s="33">
        <v>32.15</v>
      </c>
      <c r="AN625" s="7" t="s">
        <v>54</v>
      </c>
      <c r="AO625" s="7" t="s">
        <v>55</v>
      </c>
      <c r="AP625" s="7" t="s">
        <v>56</v>
      </c>
      <c r="AT625" s="47" t="s">
        <v>57</v>
      </c>
      <c r="AU625" s="47" t="s">
        <v>57</v>
      </c>
    </row>
    <row r="626" spans="1:47">
      <c r="A626" s="4" t="s">
        <v>48</v>
      </c>
      <c r="C626" s="21"/>
      <c r="D626" s="22" t="s">
        <v>49</v>
      </c>
      <c r="G626" s="23">
        <v>45086</v>
      </c>
      <c r="H626" s="24" t="s">
        <v>1912</v>
      </c>
      <c r="J626" s="28" t="s">
        <v>51</v>
      </c>
      <c r="L626" s="24" t="s">
        <v>1913</v>
      </c>
      <c r="M626" s="1" t="str">
        <f>"34212219650710883X"</f>
        <v>34212219650710883X</v>
      </c>
      <c r="N626" s="24" t="s">
        <v>1913</v>
      </c>
      <c r="O626" s="1" t="str">
        <f>"34212219650710883X"</f>
        <v>34212219650710883X</v>
      </c>
      <c r="P626" s="23" t="s">
        <v>1914</v>
      </c>
      <c r="Q626" s="23">
        <v>45087</v>
      </c>
      <c r="R626" s="32">
        <v>45453</v>
      </c>
      <c r="V626" s="33">
        <v>50</v>
      </c>
      <c r="W626" s="28">
        <v>64.29</v>
      </c>
      <c r="X626" s="34" t="s">
        <v>54</v>
      </c>
      <c r="Y626" s="33">
        <v>32.15</v>
      </c>
      <c r="AC626" s="28">
        <v>64.29</v>
      </c>
      <c r="AD626" s="34" t="s">
        <v>54</v>
      </c>
      <c r="AE626" s="33">
        <v>32.15</v>
      </c>
      <c r="AN626" s="7" t="s">
        <v>54</v>
      </c>
      <c r="AO626" s="7" t="s">
        <v>55</v>
      </c>
      <c r="AP626" s="7" t="s">
        <v>56</v>
      </c>
      <c r="AT626" s="47" t="s">
        <v>57</v>
      </c>
      <c r="AU626" s="47" t="s">
        <v>57</v>
      </c>
    </row>
    <row r="627" spans="1:47">
      <c r="A627" s="4" t="s">
        <v>48</v>
      </c>
      <c r="C627" s="21"/>
      <c r="D627" s="22" t="s">
        <v>49</v>
      </c>
      <c r="G627" s="23">
        <v>45087</v>
      </c>
      <c r="H627" s="24" t="s">
        <v>1915</v>
      </c>
      <c r="J627" s="28" t="s">
        <v>51</v>
      </c>
      <c r="L627" s="24" t="s">
        <v>1040</v>
      </c>
      <c r="M627" s="1" t="str">
        <f>"13292419751112034X"</f>
        <v>13292419751112034X</v>
      </c>
      <c r="N627" s="24" t="s">
        <v>1040</v>
      </c>
      <c r="O627" s="1" t="str">
        <f>"13292419751112034X"</f>
        <v>13292419751112034X</v>
      </c>
      <c r="P627" s="23" t="s">
        <v>1916</v>
      </c>
      <c r="Q627" s="23">
        <v>45088</v>
      </c>
      <c r="R627" s="32">
        <v>45454</v>
      </c>
      <c r="V627" s="33">
        <v>50</v>
      </c>
      <c r="W627" s="28">
        <v>64.29</v>
      </c>
      <c r="X627" s="34" t="s">
        <v>54</v>
      </c>
      <c r="Y627" s="33">
        <v>32.15</v>
      </c>
      <c r="AC627" s="28">
        <v>64.29</v>
      </c>
      <c r="AD627" s="34" t="s">
        <v>54</v>
      </c>
      <c r="AE627" s="33">
        <v>32.15</v>
      </c>
      <c r="AN627" s="7" t="s">
        <v>54</v>
      </c>
      <c r="AO627" s="7" t="s">
        <v>55</v>
      </c>
      <c r="AP627" s="7" t="s">
        <v>56</v>
      </c>
      <c r="AT627" s="47" t="s">
        <v>57</v>
      </c>
      <c r="AU627" s="47" t="s">
        <v>57</v>
      </c>
    </row>
    <row r="628" spans="1:47">
      <c r="A628" s="4" t="s">
        <v>48</v>
      </c>
      <c r="C628" s="21"/>
      <c r="D628" s="22" t="s">
        <v>49</v>
      </c>
      <c r="G628" s="23">
        <v>45083</v>
      </c>
      <c r="H628" s="24" t="s">
        <v>1917</v>
      </c>
      <c r="J628" s="28" t="s">
        <v>51</v>
      </c>
      <c r="L628" s="24" t="s">
        <v>1918</v>
      </c>
      <c r="M628" s="1" t="str">
        <f>"342122196109028850"</f>
        <v>342122196109028850</v>
      </c>
      <c r="N628" s="24" t="s">
        <v>1918</v>
      </c>
      <c r="O628" s="1" t="str">
        <f>"342122196109028850"</f>
        <v>342122196109028850</v>
      </c>
      <c r="P628" s="23" t="s">
        <v>1919</v>
      </c>
      <c r="Q628" s="23">
        <v>45084</v>
      </c>
      <c r="R628" s="32">
        <v>45450</v>
      </c>
      <c r="V628" s="33">
        <v>50</v>
      </c>
      <c r="W628" s="28">
        <v>64.29</v>
      </c>
      <c r="X628" s="34" t="s">
        <v>54</v>
      </c>
      <c r="Y628" s="33">
        <v>32.15</v>
      </c>
      <c r="AC628" s="28">
        <v>64.29</v>
      </c>
      <c r="AD628" s="34" t="s">
        <v>54</v>
      </c>
      <c r="AE628" s="33">
        <v>32.15</v>
      </c>
      <c r="AN628" s="7" t="s">
        <v>54</v>
      </c>
      <c r="AO628" s="7" t="s">
        <v>55</v>
      </c>
      <c r="AP628" s="7" t="s">
        <v>56</v>
      </c>
      <c r="AT628" s="47" t="s">
        <v>57</v>
      </c>
      <c r="AU628" s="47" t="s">
        <v>57</v>
      </c>
    </row>
    <row r="629" spans="1:47">
      <c r="A629" s="4" t="s">
        <v>48</v>
      </c>
      <c r="C629" s="21"/>
      <c r="D629" s="22" t="s">
        <v>49</v>
      </c>
      <c r="G629" s="23">
        <v>45083</v>
      </c>
      <c r="H629" s="24" t="s">
        <v>1920</v>
      </c>
      <c r="J629" s="28" t="s">
        <v>51</v>
      </c>
      <c r="L629" s="24" t="s">
        <v>545</v>
      </c>
      <c r="M629" s="1" t="str">
        <f>"341221197408212300"</f>
        <v>341221197408212300</v>
      </c>
      <c r="N629" s="24" t="s">
        <v>545</v>
      </c>
      <c r="O629" s="1" t="str">
        <f>"341221197408212300"</f>
        <v>341221197408212300</v>
      </c>
      <c r="P629" s="23" t="s">
        <v>1921</v>
      </c>
      <c r="Q629" s="23">
        <v>45084</v>
      </c>
      <c r="R629" s="32">
        <v>45450</v>
      </c>
      <c r="V629" s="33">
        <v>50</v>
      </c>
      <c r="W629" s="28">
        <v>64.29</v>
      </c>
      <c r="X629" s="34" t="s">
        <v>54</v>
      </c>
      <c r="Y629" s="33">
        <v>32.15</v>
      </c>
      <c r="AC629" s="28">
        <v>64.29</v>
      </c>
      <c r="AD629" s="34" t="s">
        <v>54</v>
      </c>
      <c r="AE629" s="33">
        <v>32.15</v>
      </c>
      <c r="AN629" s="7" t="s">
        <v>54</v>
      </c>
      <c r="AO629" s="7" t="s">
        <v>55</v>
      </c>
      <c r="AP629" s="7" t="s">
        <v>56</v>
      </c>
      <c r="AT629" s="47" t="s">
        <v>57</v>
      </c>
      <c r="AU629" s="47" t="s">
        <v>57</v>
      </c>
    </row>
    <row r="630" spans="1:47">
      <c r="A630" s="4" t="s">
        <v>48</v>
      </c>
      <c r="C630" s="21"/>
      <c r="D630" s="22" t="s">
        <v>49</v>
      </c>
      <c r="G630" s="23">
        <v>45083</v>
      </c>
      <c r="H630" s="24" t="s">
        <v>1922</v>
      </c>
      <c r="J630" s="28" t="s">
        <v>51</v>
      </c>
      <c r="L630" s="24" t="s">
        <v>1923</v>
      </c>
      <c r="M630" s="1" t="str">
        <f>"342122197410044475"</f>
        <v>342122197410044475</v>
      </c>
      <c r="N630" s="24" t="s">
        <v>1923</v>
      </c>
      <c r="O630" s="1" t="str">
        <f>"342122197410044475"</f>
        <v>342122197410044475</v>
      </c>
      <c r="P630" s="23" t="s">
        <v>1924</v>
      </c>
      <c r="Q630" s="23">
        <v>45084</v>
      </c>
      <c r="R630" s="32">
        <v>45450</v>
      </c>
      <c r="V630" s="33">
        <v>50</v>
      </c>
      <c r="W630" s="28">
        <v>64.29</v>
      </c>
      <c r="X630" s="34" t="s">
        <v>54</v>
      </c>
      <c r="Y630" s="33">
        <v>32.15</v>
      </c>
      <c r="AC630" s="28">
        <v>64.29</v>
      </c>
      <c r="AD630" s="34" t="s">
        <v>54</v>
      </c>
      <c r="AE630" s="33">
        <v>32.15</v>
      </c>
      <c r="AN630" s="7" t="s">
        <v>54</v>
      </c>
      <c r="AO630" s="7" t="s">
        <v>55</v>
      </c>
      <c r="AP630" s="7" t="s">
        <v>56</v>
      </c>
      <c r="AT630" s="47" t="s">
        <v>57</v>
      </c>
      <c r="AU630" s="47" t="s">
        <v>57</v>
      </c>
    </row>
    <row r="631" spans="1:47">
      <c r="A631" s="4" t="s">
        <v>48</v>
      </c>
      <c r="C631" s="21"/>
      <c r="D631" s="22" t="s">
        <v>49</v>
      </c>
      <c r="G631" s="23">
        <v>45096</v>
      </c>
      <c r="H631" s="24" t="s">
        <v>1925</v>
      </c>
      <c r="J631" s="28" t="s">
        <v>51</v>
      </c>
      <c r="L631" s="24" t="s">
        <v>1926</v>
      </c>
      <c r="M631" s="1" t="str">
        <f>"130929200110052598"</f>
        <v>130929200110052598</v>
      </c>
      <c r="N631" s="24" t="s">
        <v>1926</v>
      </c>
      <c r="O631" s="1" t="str">
        <f>"130929200110052598"</f>
        <v>130929200110052598</v>
      </c>
      <c r="P631" s="23" t="s">
        <v>1927</v>
      </c>
      <c r="Q631" s="23">
        <v>45097</v>
      </c>
      <c r="R631" s="32">
        <v>45463</v>
      </c>
      <c r="V631" s="33">
        <v>100</v>
      </c>
      <c r="W631" s="28">
        <v>64.29</v>
      </c>
      <c r="X631" s="34" t="s">
        <v>54</v>
      </c>
      <c r="Y631" s="33">
        <v>64.29</v>
      </c>
      <c r="AC631" s="28">
        <v>64.29</v>
      </c>
      <c r="AD631" s="34" t="s">
        <v>54</v>
      </c>
      <c r="AE631" s="33">
        <v>64.29</v>
      </c>
      <c r="AN631" s="7" t="s">
        <v>54</v>
      </c>
      <c r="AO631" s="7" t="s">
        <v>55</v>
      </c>
      <c r="AP631" s="7" t="s">
        <v>56</v>
      </c>
      <c r="AT631" s="47" t="s">
        <v>57</v>
      </c>
      <c r="AU631" s="47" t="s">
        <v>57</v>
      </c>
    </row>
    <row r="632" spans="1:47">
      <c r="A632" s="4" t="s">
        <v>48</v>
      </c>
      <c r="C632" s="21"/>
      <c r="D632" s="22" t="s">
        <v>49</v>
      </c>
      <c r="G632" s="23">
        <v>45096</v>
      </c>
      <c r="H632" s="24" t="s">
        <v>1928</v>
      </c>
      <c r="J632" s="28" t="s">
        <v>51</v>
      </c>
      <c r="L632" s="24" t="s">
        <v>1929</v>
      </c>
      <c r="M632" s="1" t="str">
        <f>"341221198206130221"</f>
        <v>341221198206130221</v>
      </c>
      <c r="N632" s="24" t="s">
        <v>1929</v>
      </c>
      <c r="O632" s="1" t="str">
        <f>"341221198206130221"</f>
        <v>341221198206130221</v>
      </c>
      <c r="P632" s="23" t="s">
        <v>1930</v>
      </c>
      <c r="Q632" s="23">
        <v>45097</v>
      </c>
      <c r="R632" s="32">
        <v>45463</v>
      </c>
      <c r="V632" s="33">
        <v>100</v>
      </c>
      <c r="W632" s="28">
        <v>64.29</v>
      </c>
      <c r="X632" s="34" t="s">
        <v>54</v>
      </c>
      <c r="Y632" s="33">
        <v>64.29</v>
      </c>
      <c r="AC632" s="28">
        <v>64.29</v>
      </c>
      <c r="AD632" s="34" t="s">
        <v>54</v>
      </c>
      <c r="AE632" s="33">
        <v>64.29</v>
      </c>
      <c r="AN632" s="7" t="s">
        <v>54</v>
      </c>
      <c r="AO632" s="7" t="s">
        <v>55</v>
      </c>
      <c r="AP632" s="7" t="s">
        <v>56</v>
      </c>
      <c r="AT632" s="47" t="s">
        <v>57</v>
      </c>
      <c r="AU632" s="47" t="s">
        <v>57</v>
      </c>
    </row>
    <row r="633" spans="1:47">
      <c r="A633" s="4" t="s">
        <v>48</v>
      </c>
      <c r="C633" s="21"/>
      <c r="D633" s="22" t="s">
        <v>49</v>
      </c>
      <c r="G633" s="23">
        <v>45097</v>
      </c>
      <c r="H633" s="24" t="s">
        <v>1931</v>
      </c>
      <c r="J633" s="28" t="s">
        <v>51</v>
      </c>
      <c r="L633" s="24" t="s">
        <v>1932</v>
      </c>
      <c r="M633" s="1" t="str">
        <f>"34122119850402606X"</f>
        <v>34122119850402606X</v>
      </c>
      <c r="N633" s="24" t="s">
        <v>1932</v>
      </c>
      <c r="O633" s="1" t="str">
        <f>"34122119850402606X"</f>
        <v>34122119850402606X</v>
      </c>
      <c r="P633" s="23" t="s">
        <v>1933</v>
      </c>
      <c r="Q633" s="23">
        <v>45098</v>
      </c>
      <c r="R633" s="32">
        <v>45464</v>
      </c>
      <c r="V633" s="33">
        <v>100</v>
      </c>
      <c r="W633" s="28">
        <v>64.29</v>
      </c>
      <c r="X633" s="34" t="s">
        <v>54</v>
      </c>
      <c r="Y633" s="33">
        <v>64.29</v>
      </c>
      <c r="AC633" s="28">
        <v>64.29</v>
      </c>
      <c r="AD633" s="34" t="s">
        <v>54</v>
      </c>
      <c r="AE633" s="33">
        <v>64.29</v>
      </c>
      <c r="AN633" s="7" t="s">
        <v>54</v>
      </c>
      <c r="AO633" s="7" t="s">
        <v>55</v>
      </c>
      <c r="AP633" s="7" t="s">
        <v>56</v>
      </c>
      <c r="AT633" s="47" t="s">
        <v>57</v>
      </c>
      <c r="AU633" s="47" t="s">
        <v>57</v>
      </c>
    </row>
    <row r="634" spans="1:47">
      <c r="A634" s="4" t="s">
        <v>48</v>
      </c>
      <c r="C634" s="21"/>
      <c r="D634" s="22" t="s">
        <v>49</v>
      </c>
      <c r="G634" s="23">
        <v>45096</v>
      </c>
      <c r="H634" s="24" t="s">
        <v>1934</v>
      </c>
      <c r="J634" s="28" t="s">
        <v>51</v>
      </c>
      <c r="L634" s="24" t="s">
        <v>1935</v>
      </c>
      <c r="M634" s="1" t="str">
        <f>"130929198402100037"</f>
        <v>130929198402100037</v>
      </c>
      <c r="N634" s="24" t="s">
        <v>1935</v>
      </c>
      <c r="O634" s="1" t="str">
        <f>"130929198402100037"</f>
        <v>130929198402100037</v>
      </c>
      <c r="P634" s="23" t="s">
        <v>1936</v>
      </c>
      <c r="Q634" s="23">
        <v>45158</v>
      </c>
      <c r="R634" s="32">
        <v>45524</v>
      </c>
      <c r="V634" s="33">
        <v>100</v>
      </c>
      <c r="W634" s="28">
        <v>64.29</v>
      </c>
      <c r="X634" s="34" t="s">
        <v>54</v>
      </c>
      <c r="Y634" s="33">
        <v>64.29</v>
      </c>
      <c r="AC634" s="28">
        <v>64.29</v>
      </c>
      <c r="AD634" s="34" t="s">
        <v>54</v>
      </c>
      <c r="AE634" s="33">
        <v>64.29</v>
      </c>
      <c r="AN634" s="7" t="s">
        <v>54</v>
      </c>
      <c r="AO634" s="7" t="s">
        <v>55</v>
      </c>
      <c r="AP634" s="7" t="s">
        <v>56</v>
      </c>
      <c r="AT634" s="47" t="s">
        <v>57</v>
      </c>
      <c r="AU634" s="47" t="s">
        <v>57</v>
      </c>
    </row>
    <row r="635" spans="1:47">
      <c r="A635" s="4" t="s">
        <v>48</v>
      </c>
      <c r="C635" s="21"/>
      <c r="D635" s="22" t="s">
        <v>49</v>
      </c>
      <c r="G635" s="23">
        <v>45085</v>
      </c>
      <c r="H635" s="24" t="s">
        <v>1937</v>
      </c>
      <c r="J635" s="28" t="s">
        <v>51</v>
      </c>
      <c r="L635" s="24" t="s">
        <v>1938</v>
      </c>
      <c r="M635" s="1" t="str">
        <f>"341221199909093791"</f>
        <v>341221199909093791</v>
      </c>
      <c r="N635" s="24" t="s">
        <v>1938</v>
      </c>
      <c r="O635" s="1" t="str">
        <f>"341221199909093791"</f>
        <v>341221199909093791</v>
      </c>
      <c r="P635" s="23" t="s">
        <v>1939</v>
      </c>
      <c r="Q635" s="23">
        <v>45209</v>
      </c>
      <c r="R635" s="32">
        <v>45575</v>
      </c>
      <c r="V635" s="33">
        <v>100</v>
      </c>
      <c r="W635" s="28">
        <v>64.29</v>
      </c>
      <c r="X635" s="34" t="s">
        <v>54</v>
      </c>
      <c r="Y635" s="33">
        <v>64.29</v>
      </c>
      <c r="AC635" s="28">
        <v>64.29</v>
      </c>
      <c r="AD635" s="34" t="s">
        <v>54</v>
      </c>
      <c r="AE635" s="33">
        <v>64.29</v>
      </c>
      <c r="AN635" s="7" t="s">
        <v>54</v>
      </c>
      <c r="AO635" s="7" t="s">
        <v>55</v>
      </c>
      <c r="AP635" s="7" t="s">
        <v>56</v>
      </c>
      <c r="AT635" s="47" t="s">
        <v>57</v>
      </c>
      <c r="AU635" s="47" t="s">
        <v>57</v>
      </c>
    </row>
    <row r="636" spans="1:47">
      <c r="A636" s="4" t="s">
        <v>48</v>
      </c>
      <c r="C636" s="21"/>
      <c r="D636" s="22" t="s">
        <v>49</v>
      </c>
      <c r="G636" s="23">
        <v>45087</v>
      </c>
      <c r="H636" s="24" t="s">
        <v>1940</v>
      </c>
      <c r="J636" s="28" t="s">
        <v>51</v>
      </c>
      <c r="L636" s="24" t="s">
        <v>1941</v>
      </c>
      <c r="M636" s="1" t="str">
        <f>"341202199802270533"</f>
        <v>341202199802270533</v>
      </c>
      <c r="N636" s="24" t="s">
        <v>1941</v>
      </c>
      <c r="O636" s="1" t="str">
        <f>"341202199802270533"</f>
        <v>341202199802270533</v>
      </c>
      <c r="P636" s="23" t="s">
        <v>1942</v>
      </c>
      <c r="Q636" s="23">
        <v>45088</v>
      </c>
      <c r="R636" s="32">
        <v>45454</v>
      </c>
      <c r="V636" s="33">
        <v>100</v>
      </c>
      <c r="W636" s="28">
        <v>64.29</v>
      </c>
      <c r="X636" s="34" t="s">
        <v>54</v>
      </c>
      <c r="Y636" s="33">
        <v>64.29</v>
      </c>
      <c r="AC636" s="28">
        <v>64.29</v>
      </c>
      <c r="AD636" s="34" t="s">
        <v>54</v>
      </c>
      <c r="AE636" s="33">
        <v>64.29</v>
      </c>
      <c r="AN636" s="7" t="s">
        <v>54</v>
      </c>
      <c r="AO636" s="7" t="s">
        <v>55</v>
      </c>
      <c r="AP636" s="7" t="s">
        <v>56</v>
      </c>
      <c r="AT636" s="47" t="s">
        <v>57</v>
      </c>
      <c r="AU636" s="47" t="s">
        <v>57</v>
      </c>
    </row>
    <row r="637" spans="1:47">
      <c r="A637" s="4" t="s">
        <v>48</v>
      </c>
      <c r="C637" s="21"/>
      <c r="D637" s="22" t="s">
        <v>49</v>
      </c>
      <c r="G637" s="23">
        <v>45085</v>
      </c>
      <c r="H637" s="24" t="s">
        <v>1943</v>
      </c>
      <c r="J637" s="28" t="s">
        <v>51</v>
      </c>
      <c r="L637" s="24" t="s">
        <v>1944</v>
      </c>
      <c r="M637" s="1" t="str">
        <f>"341204199106011047"</f>
        <v>341204199106011047</v>
      </c>
      <c r="N637" s="24" t="s">
        <v>1944</v>
      </c>
      <c r="O637" s="1" t="str">
        <f>"341204199106011047"</f>
        <v>341204199106011047</v>
      </c>
      <c r="P637" s="23" t="s">
        <v>1945</v>
      </c>
      <c r="Q637" s="23">
        <v>45086</v>
      </c>
      <c r="R637" s="32">
        <v>45452</v>
      </c>
      <c r="V637" s="33">
        <v>100</v>
      </c>
      <c r="W637" s="28">
        <v>64.29</v>
      </c>
      <c r="X637" s="34" t="s">
        <v>54</v>
      </c>
      <c r="Y637" s="33">
        <v>64.29</v>
      </c>
      <c r="AC637" s="28">
        <v>64.29</v>
      </c>
      <c r="AD637" s="34" t="s">
        <v>54</v>
      </c>
      <c r="AE637" s="33">
        <v>64.29</v>
      </c>
      <c r="AN637" s="7" t="s">
        <v>54</v>
      </c>
      <c r="AO637" s="7" t="s">
        <v>55</v>
      </c>
      <c r="AP637" s="7" t="s">
        <v>56</v>
      </c>
      <c r="AT637" s="47" t="s">
        <v>57</v>
      </c>
      <c r="AU637" s="47" t="s">
        <v>57</v>
      </c>
    </row>
    <row r="638" spans="1:47">
      <c r="A638" s="4" t="s">
        <v>48</v>
      </c>
      <c r="C638" s="21"/>
      <c r="D638" s="22" t="s">
        <v>49</v>
      </c>
      <c r="G638" s="23">
        <v>45087</v>
      </c>
      <c r="H638" s="24" t="s">
        <v>1946</v>
      </c>
      <c r="J638" s="28" t="s">
        <v>51</v>
      </c>
      <c r="L638" s="24" t="s">
        <v>1947</v>
      </c>
      <c r="M638" s="1" t="str">
        <f>"341221199109168521"</f>
        <v>341221199109168521</v>
      </c>
      <c r="N638" s="24" t="s">
        <v>1947</v>
      </c>
      <c r="O638" s="1" t="str">
        <f>"341221199109168521"</f>
        <v>341221199109168521</v>
      </c>
      <c r="P638" s="23" t="s">
        <v>1948</v>
      </c>
      <c r="Q638" s="23">
        <v>45088</v>
      </c>
      <c r="R638" s="32">
        <v>45454</v>
      </c>
      <c r="V638" s="33">
        <v>100</v>
      </c>
      <c r="W638" s="28">
        <v>64.29</v>
      </c>
      <c r="X638" s="34" t="s">
        <v>54</v>
      </c>
      <c r="Y638" s="33">
        <v>64.29</v>
      </c>
      <c r="AC638" s="28">
        <v>64.29</v>
      </c>
      <c r="AD638" s="34" t="s">
        <v>54</v>
      </c>
      <c r="AE638" s="33">
        <v>64.29</v>
      </c>
      <c r="AN638" s="7" t="s">
        <v>54</v>
      </c>
      <c r="AO638" s="7" t="s">
        <v>55</v>
      </c>
      <c r="AP638" s="7" t="s">
        <v>56</v>
      </c>
      <c r="AT638" s="47" t="s">
        <v>57</v>
      </c>
      <c r="AU638" s="47" t="s">
        <v>57</v>
      </c>
    </row>
    <row r="639" spans="1:47">
      <c r="A639" s="4" t="s">
        <v>48</v>
      </c>
      <c r="C639" s="21"/>
      <c r="D639" s="22" t="s">
        <v>49</v>
      </c>
      <c r="G639" s="23">
        <v>45086</v>
      </c>
      <c r="H639" s="24" t="s">
        <v>1949</v>
      </c>
      <c r="J639" s="28" t="s">
        <v>51</v>
      </c>
      <c r="L639" s="24" t="s">
        <v>678</v>
      </c>
      <c r="M639" s="1" t="str">
        <f>"341227199312103414"</f>
        <v>341227199312103414</v>
      </c>
      <c r="N639" s="24" t="s">
        <v>678</v>
      </c>
      <c r="O639" s="1" t="str">
        <f>"341227199312103414"</f>
        <v>341227199312103414</v>
      </c>
      <c r="P639" s="23" t="s">
        <v>1950</v>
      </c>
      <c r="Q639" s="23">
        <v>45087</v>
      </c>
      <c r="R639" s="32">
        <v>45453</v>
      </c>
      <c r="V639" s="33">
        <v>100</v>
      </c>
      <c r="W639" s="28">
        <v>64.29</v>
      </c>
      <c r="X639" s="34" t="s">
        <v>54</v>
      </c>
      <c r="Y639" s="33">
        <v>64.29</v>
      </c>
      <c r="AC639" s="28">
        <v>64.29</v>
      </c>
      <c r="AD639" s="34" t="s">
        <v>54</v>
      </c>
      <c r="AE639" s="33">
        <v>64.29</v>
      </c>
      <c r="AN639" s="7" t="s">
        <v>54</v>
      </c>
      <c r="AO639" s="7" t="s">
        <v>55</v>
      </c>
      <c r="AP639" s="7" t="s">
        <v>56</v>
      </c>
      <c r="AT639" s="47" t="s">
        <v>57</v>
      </c>
      <c r="AU639" s="47" t="s">
        <v>57</v>
      </c>
    </row>
    <row r="640" spans="1:47">
      <c r="A640" s="4" t="s">
        <v>48</v>
      </c>
      <c r="C640" s="21"/>
      <c r="D640" s="22" t="s">
        <v>49</v>
      </c>
      <c r="G640" s="23">
        <v>45086</v>
      </c>
      <c r="H640" s="24" t="s">
        <v>1951</v>
      </c>
      <c r="J640" s="28" t="s">
        <v>51</v>
      </c>
      <c r="L640" s="24" t="s">
        <v>1952</v>
      </c>
      <c r="M640" s="1" t="str">
        <f>"341204197404020823"</f>
        <v>341204197404020823</v>
      </c>
      <c r="N640" s="24" t="s">
        <v>1952</v>
      </c>
      <c r="O640" s="1" t="str">
        <f>"341204197404020823"</f>
        <v>341204197404020823</v>
      </c>
      <c r="P640" s="23" t="s">
        <v>1953</v>
      </c>
      <c r="Q640" s="23">
        <v>45087</v>
      </c>
      <c r="R640" s="32">
        <v>45453</v>
      </c>
      <c r="V640" s="33">
        <v>100</v>
      </c>
      <c r="W640" s="28">
        <v>64.29</v>
      </c>
      <c r="X640" s="34" t="s">
        <v>54</v>
      </c>
      <c r="Y640" s="33">
        <v>64.29</v>
      </c>
      <c r="AC640" s="28">
        <v>64.29</v>
      </c>
      <c r="AD640" s="34" t="s">
        <v>54</v>
      </c>
      <c r="AE640" s="33">
        <v>64.29</v>
      </c>
      <c r="AN640" s="7" t="s">
        <v>54</v>
      </c>
      <c r="AO640" s="7" t="s">
        <v>55</v>
      </c>
      <c r="AP640" s="7" t="s">
        <v>56</v>
      </c>
      <c r="AT640" s="47" t="s">
        <v>57</v>
      </c>
      <c r="AU640" s="47" t="s">
        <v>57</v>
      </c>
    </row>
    <row r="641" spans="1:47">
      <c r="A641" s="4" t="s">
        <v>48</v>
      </c>
      <c r="C641" s="21"/>
      <c r="D641" s="22" t="s">
        <v>49</v>
      </c>
      <c r="G641" s="23">
        <v>45102</v>
      </c>
      <c r="H641" s="24" t="s">
        <v>1954</v>
      </c>
      <c r="J641" s="28" t="s">
        <v>51</v>
      </c>
      <c r="L641" s="24" t="s">
        <v>1955</v>
      </c>
      <c r="M641" s="1" t="str">
        <f>"341227198603013756"</f>
        <v>341227198603013756</v>
      </c>
      <c r="N641" s="24" t="s">
        <v>1955</v>
      </c>
      <c r="O641" s="1" t="str">
        <f>"341227198603013756"</f>
        <v>341227198603013756</v>
      </c>
      <c r="P641" s="23" t="s">
        <v>1956</v>
      </c>
      <c r="Q641" s="23">
        <v>45103</v>
      </c>
      <c r="R641" s="32">
        <v>45469</v>
      </c>
      <c r="V641" s="33">
        <v>200</v>
      </c>
      <c r="W641" s="28">
        <v>64.29</v>
      </c>
      <c r="X641" s="34" t="s">
        <v>54</v>
      </c>
      <c r="Y641" s="33">
        <v>128.58</v>
      </c>
      <c r="AC641" s="28">
        <v>64.29</v>
      </c>
      <c r="AD641" s="34" t="s">
        <v>54</v>
      </c>
      <c r="AE641" s="33">
        <v>128.58</v>
      </c>
      <c r="AN641" s="7" t="s">
        <v>54</v>
      </c>
      <c r="AO641" s="7" t="s">
        <v>55</v>
      </c>
      <c r="AP641" s="7" t="s">
        <v>56</v>
      </c>
      <c r="AT641" s="47" t="s">
        <v>57</v>
      </c>
      <c r="AU641" s="47" t="s">
        <v>57</v>
      </c>
    </row>
    <row r="642" spans="1:47">
      <c r="A642" s="4" t="s">
        <v>48</v>
      </c>
      <c r="C642" s="21"/>
      <c r="D642" s="22" t="s">
        <v>49</v>
      </c>
      <c r="G642" s="23">
        <v>45101</v>
      </c>
      <c r="H642" s="24" t="s">
        <v>1957</v>
      </c>
      <c r="J642" s="28" t="s">
        <v>51</v>
      </c>
      <c r="L642" s="24" t="s">
        <v>1958</v>
      </c>
      <c r="M642" s="1" t="str">
        <f>"341227198503273710"</f>
        <v>341227198503273710</v>
      </c>
      <c r="N642" s="24" t="s">
        <v>1958</v>
      </c>
      <c r="O642" s="1" t="str">
        <f>"341227198503273710"</f>
        <v>341227198503273710</v>
      </c>
      <c r="P642" s="23" t="s">
        <v>1959</v>
      </c>
      <c r="Q642" s="23">
        <v>45102</v>
      </c>
      <c r="R642" s="32">
        <v>45468</v>
      </c>
      <c r="V642" s="33">
        <v>200</v>
      </c>
      <c r="W642" s="28">
        <v>64.29</v>
      </c>
      <c r="X642" s="34" t="s">
        <v>54</v>
      </c>
      <c r="Y642" s="33">
        <v>128.58</v>
      </c>
      <c r="AC642" s="28">
        <v>64.29</v>
      </c>
      <c r="AD642" s="34" t="s">
        <v>54</v>
      </c>
      <c r="AE642" s="33">
        <v>128.58</v>
      </c>
      <c r="AN642" s="7" t="s">
        <v>54</v>
      </c>
      <c r="AO642" s="7" t="s">
        <v>55</v>
      </c>
      <c r="AP642" s="7" t="s">
        <v>56</v>
      </c>
      <c r="AT642" s="47" t="s">
        <v>57</v>
      </c>
      <c r="AU642" s="47" t="s">
        <v>57</v>
      </c>
    </row>
    <row r="643" spans="1:47">
      <c r="A643" s="4" t="s">
        <v>48</v>
      </c>
      <c r="C643" s="21"/>
      <c r="D643" s="22" t="s">
        <v>49</v>
      </c>
      <c r="G643" s="23">
        <v>45098</v>
      </c>
      <c r="H643" s="24" t="s">
        <v>1960</v>
      </c>
      <c r="J643" s="28" t="s">
        <v>51</v>
      </c>
      <c r="L643" s="24" t="s">
        <v>1961</v>
      </c>
      <c r="M643" s="1" t="str">
        <f>"341204198408200869"</f>
        <v>341204198408200869</v>
      </c>
      <c r="N643" s="24" t="s">
        <v>1961</v>
      </c>
      <c r="O643" s="1" t="str">
        <f>"341204198408200869"</f>
        <v>341204198408200869</v>
      </c>
      <c r="P643" s="23" t="s">
        <v>1962</v>
      </c>
      <c r="Q643" s="23">
        <v>45099</v>
      </c>
      <c r="R643" s="32">
        <v>45465</v>
      </c>
      <c r="V643" s="33">
        <v>200</v>
      </c>
      <c r="W643" s="28">
        <v>64.29</v>
      </c>
      <c r="X643" s="34" t="s">
        <v>54</v>
      </c>
      <c r="Y643" s="33">
        <v>128.58</v>
      </c>
      <c r="AC643" s="28">
        <v>64.29</v>
      </c>
      <c r="AD643" s="34" t="s">
        <v>54</v>
      </c>
      <c r="AE643" s="33">
        <v>128.58</v>
      </c>
      <c r="AN643" s="7" t="s">
        <v>54</v>
      </c>
      <c r="AO643" s="7" t="s">
        <v>55</v>
      </c>
      <c r="AP643" s="7" t="s">
        <v>56</v>
      </c>
      <c r="AT643" s="47" t="s">
        <v>57</v>
      </c>
      <c r="AU643" s="47" t="s">
        <v>57</v>
      </c>
    </row>
    <row r="644" spans="1:47">
      <c r="A644" s="4" t="s">
        <v>48</v>
      </c>
      <c r="C644" s="21"/>
      <c r="D644" s="22" t="s">
        <v>49</v>
      </c>
      <c r="G644" s="23">
        <v>45100</v>
      </c>
      <c r="H644" s="24" t="s">
        <v>1963</v>
      </c>
      <c r="J644" s="28" t="s">
        <v>51</v>
      </c>
      <c r="L644" s="24" t="s">
        <v>1964</v>
      </c>
      <c r="M644" s="1" t="str">
        <f>"341203198111043114"</f>
        <v>341203198111043114</v>
      </c>
      <c r="N644" s="24" t="s">
        <v>1964</v>
      </c>
      <c r="O644" s="1" t="str">
        <f>"341203198111043114"</f>
        <v>341203198111043114</v>
      </c>
      <c r="P644" s="23" t="s">
        <v>1965</v>
      </c>
      <c r="Q644" s="23">
        <v>45101</v>
      </c>
      <c r="R644" s="32">
        <v>45467</v>
      </c>
      <c r="V644" s="33">
        <v>200</v>
      </c>
      <c r="W644" s="28">
        <v>64.29</v>
      </c>
      <c r="X644" s="34" t="s">
        <v>54</v>
      </c>
      <c r="Y644" s="33">
        <v>128.58</v>
      </c>
      <c r="AC644" s="28">
        <v>64.29</v>
      </c>
      <c r="AD644" s="34" t="s">
        <v>54</v>
      </c>
      <c r="AE644" s="33">
        <v>128.58</v>
      </c>
      <c r="AN644" s="7" t="s">
        <v>54</v>
      </c>
      <c r="AO644" s="7" t="s">
        <v>55</v>
      </c>
      <c r="AP644" s="7" t="s">
        <v>56</v>
      </c>
      <c r="AT644" s="47" t="s">
        <v>57</v>
      </c>
      <c r="AU644" s="47" t="s">
        <v>57</v>
      </c>
    </row>
    <row r="645" spans="1:47">
      <c r="A645" s="4" t="s">
        <v>48</v>
      </c>
      <c r="C645" s="21"/>
      <c r="D645" s="22" t="s">
        <v>49</v>
      </c>
      <c r="G645" s="23">
        <v>45096</v>
      </c>
      <c r="H645" s="24" t="s">
        <v>1966</v>
      </c>
      <c r="J645" s="28" t="s">
        <v>51</v>
      </c>
      <c r="L645" s="24" t="s">
        <v>1967</v>
      </c>
      <c r="M645" s="1" t="str">
        <f>"130731199611191532"</f>
        <v>130731199611191532</v>
      </c>
      <c r="N645" s="24" t="s">
        <v>1967</v>
      </c>
      <c r="O645" s="1" t="str">
        <f>"130731199611191532"</f>
        <v>130731199611191532</v>
      </c>
      <c r="P645" s="23" t="s">
        <v>1968</v>
      </c>
      <c r="Q645" s="23">
        <v>45097</v>
      </c>
      <c r="R645" s="32">
        <v>45463</v>
      </c>
      <c r="V645" s="33">
        <v>200</v>
      </c>
      <c r="W645" s="28">
        <v>64.29</v>
      </c>
      <c r="X645" s="34" t="s">
        <v>54</v>
      </c>
      <c r="Y645" s="33">
        <v>128.58</v>
      </c>
      <c r="AC645" s="28">
        <v>64.29</v>
      </c>
      <c r="AD645" s="34" t="s">
        <v>54</v>
      </c>
      <c r="AE645" s="33">
        <v>128.58</v>
      </c>
      <c r="AN645" s="7" t="s">
        <v>54</v>
      </c>
      <c r="AO645" s="7" t="s">
        <v>55</v>
      </c>
      <c r="AP645" s="7" t="s">
        <v>56</v>
      </c>
      <c r="AT645" s="47" t="s">
        <v>57</v>
      </c>
      <c r="AU645" s="47" t="s">
        <v>57</v>
      </c>
    </row>
    <row r="646" spans="1:47">
      <c r="A646" s="4" t="s">
        <v>48</v>
      </c>
      <c r="C646" s="21"/>
      <c r="D646" s="22" t="s">
        <v>49</v>
      </c>
      <c r="G646" s="23">
        <v>45083</v>
      </c>
      <c r="H646" s="24" t="s">
        <v>1969</v>
      </c>
      <c r="J646" s="28" t="s">
        <v>51</v>
      </c>
      <c r="L646" s="24" t="s">
        <v>300</v>
      </c>
      <c r="M646" s="1" t="str">
        <f>"34120419970306223X"</f>
        <v>34120419970306223X</v>
      </c>
      <c r="N646" s="24" t="s">
        <v>300</v>
      </c>
      <c r="O646" s="1" t="str">
        <f>"34120419970306223X"</f>
        <v>34120419970306223X</v>
      </c>
      <c r="P646" s="23" t="s">
        <v>1970</v>
      </c>
      <c r="Q646" s="23">
        <v>45084</v>
      </c>
      <c r="R646" s="32">
        <v>45450</v>
      </c>
      <c r="V646" s="33">
        <v>50</v>
      </c>
      <c r="W646" s="28">
        <v>64.29</v>
      </c>
      <c r="X646" s="34" t="s">
        <v>54</v>
      </c>
      <c r="Y646" s="33">
        <v>32.15</v>
      </c>
      <c r="AC646" s="28">
        <v>64.29</v>
      </c>
      <c r="AD646" s="34" t="s">
        <v>54</v>
      </c>
      <c r="AE646" s="33">
        <v>32.15</v>
      </c>
      <c r="AN646" s="7" t="s">
        <v>54</v>
      </c>
      <c r="AO646" s="7" t="s">
        <v>55</v>
      </c>
      <c r="AP646" s="7" t="s">
        <v>56</v>
      </c>
      <c r="AT646" s="47" t="s">
        <v>57</v>
      </c>
      <c r="AU646" s="47" t="s">
        <v>57</v>
      </c>
    </row>
    <row r="647" spans="1:47">
      <c r="A647" s="4" t="s">
        <v>48</v>
      </c>
      <c r="C647" s="21"/>
      <c r="D647" s="22" t="s">
        <v>49</v>
      </c>
      <c r="G647" s="23">
        <v>45083</v>
      </c>
      <c r="H647" s="24" t="s">
        <v>1971</v>
      </c>
      <c r="J647" s="28" t="s">
        <v>51</v>
      </c>
      <c r="L647" s="24" t="s">
        <v>1972</v>
      </c>
      <c r="M647" s="1" t="str">
        <f>"131082197804191524"</f>
        <v>131082197804191524</v>
      </c>
      <c r="N647" s="24" t="s">
        <v>1972</v>
      </c>
      <c r="O647" s="1" t="str">
        <f>"131082197804191524"</f>
        <v>131082197804191524</v>
      </c>
      <c r="P647" s="23" t="s">
        <v>1973</v>
      </c>
      <c r="Q647" s="23">
        <v>45084</v>
      </c>
      <c r="R647" s="32">
        <v>45450</v>
      </c>
      <c r="V647" s="33">
        <v>50</v>
      </c>
      <c r="W647" s="28">
        <v>64.29</v>
      </c>
      <c r="X647" s="34" t="s">
        <v>54</v>
      </c>
      <c r="Y647" s="33">
        <v>32.15</v>
      </c>
      <c r="AC647" s="28">
        <v>64.29</v>
      </c>
      <c r="AD647" s="34" t="s">
        <v>54</v>
      </c>
      <c r="AE647" s="33">
        <v>32.15</v>
      </c>
      <c r="AN647" s="7" t="s">
        <v>54</v>
      </c>
      <c r="AO647" s="7" t="s">
        <v>55</v>
      </c>
      <c r="AP647" s="7" t="s">
        <v>56</v>
      </c>
      <c r="AT647" s="47" t="s">
        <v>57</v>
      </c>
      <c r="AU647" s="47" t="s">
        <v>57</v>
      </c>
    </row>
    <row r="648" spans="1:47">
      <c r="A648" s="4" t="s">
        <v>48</v>
      </c>
      <c r="C648" s="21"/>
      <c r="D648" s="22" t="s">
        <v>49</v>
      </c>
      <c r="G648" s="23">
        <v>45083</v>
      </c>
      <c r="H648" s="24" t="s">
        <v>1974</v>
      </c>
      <c r="J648" s="28" t="s">
        <v>51</v>
      </c>
      <c r="L648" s="24" t="s">
        <v>1975</v>
      </c>
      <c r="M648" s="1" t="str">
        <f>"131022198503302620"</f>
        <v>131022198503302620</v>
      </c>
      <c r="N648" s="24" t="s">
        <v>1975</v>
      </c>
      <c r="O648" s="1" t="str">
        <f>"131022198503302620"</f>
        <v>131022198503302620</v>
      </c>
      <c r="P648" s="23" t="s">
        <v>1976</v>
      </c>
      <c r="Q648" s="23">
        <v>45084</v>
      </c>
      <c r="R648" s="32">
        <v>45450</v>
      </c>
      <c r="V648" s="33">
        <v>50</v>
      </c>
      <c r="W648" s="28">
        <v>64.29</v>
      </c>
      <c r="X648" s="34" t="s">
        <v>54</v>
      </c>
      <c r="Y648" s="33">
        <v>32.15</v>
      </c>
      <c r="AC648" s="28">
        <v>64.29</v>
      </c>
      <c r="AD648" s="34" t="s">
        <v>54</v>
      </c>
      <c r="AE648" s="33">
        <v>32.15</v>
      </c>
      <c r="AN648" s="7" t="s">
        <v>54</v>
      </c>
      <c r="AO648" s="7" t="s">
        <v>55</v>
      </c>
      <c r="AP648" s="7" t="s">
        <v>56</v>
      </c>
      <c r="AT648" s="47" t="s">
        <v>57</v>
      </c>
      <c r="AU648" s="47" t="s">
        <v>57</v>
      </c>
    </row>
    <row r="649" spans="1:47">
      <c r="A649" s="4" t="s">
        <v>48</v>
      </c>
      <c r="C649" s="21"/>
      <c r="D649" s="22" t="s">
        <v>49</v>
      </c>
      <c r="G649" s="23">
        <v>45096</v>
      </c>
      <c r="H649" s="24" t="s">
        <v>1977</v>
      </c>
      <c r="J649" s="28" t="s">
        <v>51</v>
      </c>
      <c r="L649" s="24" t="s">
        <v>1978</v>
      </c>
      <c r="M649" s="1" t="str">
        <f>"210622195810301415"</f>
        <v>210622195810301415</v>
      </c>
      <c r="N649" s="24" t="s">
        <v>1978</v>
      </c>
      <c r="O649" s="1" t="str">
        <f>"210622195810301415"</f>
        <v>210622195810301415</v>
      </c>
      <c r="P649" s="23" t="s">
        <v>1979</v>
      </c>
      <c r="Q649" s="23">
        <v>45097</v>
      </c>
      <c r="R649" s="32">
        <v>45463</v>
      </c>
      <c r="V649" s="33">
        <v>100</v>
      </c>
      <c r="W649" s="28">
        <v>64.29</v>
      </c>
      <c r="X649" s="34" t="s">
        <v>54</v>
      </c>
      <c r="Y649" s="33">
        <v>64.29</v>
      </c>
      <c r="AC649" s="28">
        <v>64.29</v>
      </c>
      <c r="AD649" s="34" t="s">
        <v>54</v>
      </c>
      <c r="AE649" s="33">
        <v>64.29</v>
      </c>
      <c r="AN649" s="7" t="s">
        <v>54</v>
      </c>
      <c r="AO649" s="7" t="s">
        <v>55</v>
      </c>
      <c r="AP649" s="7" t="s">
        <v>56</v>
      </c>
      <c r="AT649" s="47" t="s">
        <v>57</v>
      </c>
      <c r="AU649" s="47" t="s">
        <v>57</v>
      </c>
    </row>
    <row r="650" spans="1:47">
      <c r="A650" s="4" t="s">
        <v>48</v>
      </c>
      <c r="C650" s="21"/>
      <c r="D650" s="22" t="s">
        <v>49</v>
      </c>
      <c r="G650" s="23">
        <v>45097</v>
      </c>
      <c r="H650" s="24" t="s">
        <v>1980</v>
      </c>
      <c r="J650" s="28" t="s">
        <v>51</v>
      </c>
      <c r="L650" s="24" t="s">
        <v>1981</v>
      </c>
      <c r="M650" s="1" t="str">
        <f>"132826198003124610"</f>
        <v>132826198003124610</v>
      </c>
      <c r="N650" s="24" t="s">
        <v>1981</v>
      </c>
      <c r="O650" s="1" t="str">
        <f>"132826198003124610"</f>
        <v>132826198003124610</v>
      </c>
      <c r="P650" s="23" t="s">
        <v>1976</v>
      </c>
      <c r="Q650" s="23">
        <v>45098</v>
      </c>
      <c r="R650" s="32">
        <v>45464</v>
      </c>
      <c r="V650" s="33">
        <v>100</v>
      </c>
      <c r="W650" s="28">
        <v>64.29</v>
      </c>
      <c r="X650" s="34" t="s">
        <v>54</v>
      </c>
      <c r="Y650" s="33">
        <v>64.29</v>
      </c>
      <c r="AC650" s="28">
        <v>64.29</v>
      </c>
      <c r="AD650" s="34" t="s">
        <v>54</v>
      </c>
      <c r="AE650" s="33">
        <v>64.29</v>
      </c>
      <c r="AN650" s="7" t="s">
        <v>54</v>
      </c>
      <c r="AO650" s="7" t="s">
        <v>55</v>
      </c>
      <c r="AP650" s="7" t="s">
        <v>56</v>
      </c>
      <c r="AT650" s="47" t="s">
        <v>57</v>
      </c>
      <c r="AU650" s="47" t="s">
        <v>57</v>
      </c>
    </row>
    <row r="651" spans="1:47">
      <c r="A651" s="4" t="s">
        <v>48</v>
      </c>
      <c r="C651" s="21"/>
      <c r="D651" s="22" t="s">
        <v>49</v>
      </c>
      <c r="G651" s="23">
        <v>45097</v>
      </c>
      <c r="H651" s="24" t="s">
        <v>1982</v>
      </c>
      <c r="J651" s="28" t="s">
        <v>51</v>
      </c>
      <c r="L651" s="24" t="s">
        <v>1983</v>
      </c>
      <c r="M651" s="1" t="str">
        <f>"341226195404162716"</f>
        <v>341226195404162716</v>
      </c>
      <c r="N651" s="24" t="s">
        <v>1983</v>
      </c>
      <c r="O651" s="1" t="str">
        <f>"341226195404162716"</f>
        <v>341226195404162716</v>
      </c>
      <c r="P651" s="23" t="s">
        <v>1984</v>
      </c>
      <c r="Q651" s="23">
        <v>45220</v>
      </c>
      <c r="R651" s="32">
        <v>45586</v>
      </c>
      <c r="V651" s="33">
        <v>100</v>
      </c>
      <c r="W651" s="28">
        <v>64.29</v>
      </c>
      <c r="X651" s="34" t="s">
        <v>54</v>
      </c>
      <c r="Y651" s="33">
        <v>64.29</v>
      </c>
      <c r="AC651" s="28">
        <v>64.29</v>
      </c>
      <c r="AD651" s="34" t="s">
        <v>54</v>
      </c>
      <c r="AE651" s="33">
        <v>64.29</v>
      </c>
      <c r="AN651" s="7" t="s">
        <v>54</v>
      </c>
      <c r="AO651" s="7" t="s">
        <v>55</v>
      </c>
      <c r="AP651" s="7" t="s">
        <v>56</v>
      </c>
      <c r="AT651" s="47" t="s">
        <v>57</v>
      </c>
      <c r="AU651" s="47" t="s">
        <v>57</v>
      </c>
    </row>
    <row r="652" spans="1:47">
      <c r="A652" s="4" t="s">
        <v>48</v>
      </c>
      <c r="C652" s="21"/>
      <c r="D652" s="22" t="s">
        <v>49</v>
      </c>
      <c r="G652" s="23">
        <v>45096</v>
      </c>
      <c r="H652" s="24" t="s">
        <v>1985</v>
      </c>
      <c r="J652" s="28" t="s">
        <v>51</v>
      </c>
      <c r="L652" s="24" t="s">
        <v>1986</v>
      </c>
      <c r="M652" s="1" t="str">
        <f>"341226198205065300"</f>
        <v>341226198205065300</v>
      </c>
      <c r="N652" s="24" t="s">
        <v>1986</v>
      </c>
      <c r="O652" s="1" t="str">
        <f>"341226198205065300"</f>
        <v>341226198205065300</v>
      </c>
      <c r="P652" s="23" t="s">
        <v>1987</v>
      </c>
      <c r="Q652" s="23">
        <v>45097</v>
      </c>
      <c r="R652" s="32">
        <v>45463</v>
      </c>
      <c r="V652" s="33">
        <v>100</v>
      </c>
      <c r="W652" s="28">
        <v>64.29</v>
      </c>
      <c r="X652" s="34" t="s">
        <v>54</v>
      </c>
      <c r="Y652" s="33">
        <v>64.29</v>
      </c>
      <c r="AC652" s="28">
        <v>64.29</v>
      </c>
      <c r="AD652" s="34" t="s">
        <v>54</v>
      </c>
      <c r="AE652" s="33">
        <v>64.29</v>
      </c>
      <c r="AN652" s="7" t="s">
        <v>54</v>
      </c>
      <c r="AO652" s="7" t="s">
        <v>55</v>
      </c>
      <c r="AP652" s="7" t="s">
        <v>56</v>
      </c>
      <c r="AT652" s="47" t="s">
        <v>57</v>
      </c>
      <c r="AU652" s="47" t="s">
        <v>57</v>
      </c>
    </row>
    <row r="653" spans="1:47">
      <c r="A653" s="4" t="s">
        <v>48</v>
      </c>
      <c r="C653" s="21"/>
      <c r="D653" s="22" t="s">
        <v>49</v>
      </c>
      <c r="G653" s="23">
        <v>45096</v>
      </c>
      <c r="H653" s="24" t="s">
        <v>1988</v>
      </c>
      <c r="J653" s="28" t="s">
        <v>51</v>
      </c>
      <c r="L653" s="24" t="s">
        <v>1989</v>
      </c>
      <c r="M653" s="1" t="str">
        <f>"132826198109156821"</f>
        <v>132826198109156821</v>
      </c>
      <c r="N653" s="24" t="s">
        <v>1989</v>
      </c>
      <c r="O653" s="1" t="str">
        <f>"132826198109156821"</f>
        <v>132826198109156821</v>
      </c>
      <c r="P653" s="23" t="s">
        <v>1990</v>
      </c>
      <c r="Q653" s="23">
        <v>45158</v>
      </c>
      <c r="R653" s="32">
        <v>45524</v>
      </c>
      <c r="V653" s="33">
        <v>100</v>
      </c>
      <c r="W653" s="28">
        <v>64.29</v>
      </c>
      <c r="X653" s="34" t="s">
        <v>54</v>
      </c>
      <c r="Y653" s="33">
        <v>64.29</v>
      </c>
      <c r="AC653" s="28">
        <v>64.29</v>
      </c>
      <c r="AD653" s="34" t="s">
        <v>54</v>
      </c>
      <c r="AE653" s="33">
        <v>64.29</v>
      </c>
      <c r="AN653" s="7" t="s">
        <v>54</v>
      </c>
      <c r="AO653" s="7" t="s">
        <v>55</v>
      </c>
      <c r="AP653" s="7" t="s">
        <v>56</v>
      </c>
      <c r="AT653" s="47" t="s">
        <v>57</v>
      </c>
      <c r="AU653" s="47" t="s">
        <v>57</v>
      </c>
    </row>
    <row r="654" spans="1:47">
      <c r="A654" s="4" t="s">
        <v>48</v>
      </c>
      <c r="C654" s="21"/>
      <c r="D654" s="22" t="s">
        <v>49</v>
      </c>
      <c r="G654" s="23">
        <v>45098</v>
      </c>
      <c r="H654" s="24" t="s">
        <v>1991</v>
      </c>
      <c r="J654" s="28" t="s">
        <v>51</v>
      </c>
      <c r="L654" s="24" t="s">
        <v>1992</v>
      </c>
      <c r="M654" s="1" t="str">
        <f>"132822195909151229"</f>
        <v>132822195909151229</v>
      </c>
      <c r="N654" s="24" t="s">
        <v>1992</v>
      </c>
      <c r="O654" s="1" t="str">
        <f>"132822195909151229"</f>
        <v>132822195909151229</v>
      </c>
      <c r="P654" s="23" t="s">
        <v>1993</v>
      </c>
      <c r="Q654" s="23">
        <v>45099</v>
      </c>
      <c r="R654" s="32">
        <v>45465</v>
      </c>
      <c r="V654" s="33">
        <v>100</v>
      </c>
      <c r="W654" s="28">
        <v>64.29</v>
      </c>
      <c r="X654" s="34" t="s">
        <v>54</v>
      </c>
      <c r="Y654" s="33">
        <v>64.29</v>
      </c>
      <c r="AC654" s="28">
        <v>64.29</v>
      </c>
      <c r="AD654" s="34" t="s">
        <v>54</v>
      </c>
      <c r="AE654" s="33">
        <v>64.29</v>
      </c>
      <c r="AN654" s="7" t="s">
        <v>54</v>
      </c>
      <c r="AO654" s="7" t="s">
        <v>55</v>
      </c>
      <c r="AP654" s="7" t="s">
        <v>56</v>
      </c>
      <c r="AT654" s="47" t="s">
        <v>57</v>
      </c>
      <c r="AU654" s="47" t="s">
        <v>57</v>
      </c>
    </row>
    <row r="655" spans="1:47">
      <c r="A655" s="4" t="s">
        <v>48</v>
      </c>
      <c r="C655" s="21"/>
      <c r="D655" s="22" t="s">
        <v>49</v>
      </c>
      <c r="G655" s="23">
        <v>45093</v>
      </c>
      <c r="H655" s="24" t="s">
        <v>1994</v>
      </c>
      <c r="J655" s="28" t="s">
        <v>51</v>
      </c>
      <c r="L655" s="24" t="s">
        <v>1995</v>
      </c>
      <c r="M655" s="1" t="str">
        <f>"131082198104050426"</f>
        <v>131082198104050426</v>
      </c>
      <c r="N655" s="24" t="s">
        <v>1995</v>
      </c>
      <c r="O655" s="1" t="str">
        <f>"131082198104050426"</f>
        <v>131082198104050426</v>
      </c>
      <c r="P655" s="23" t="s">
        <v>1996</v>
      </c>
      <c r="Q655" s="23">
        <v>45216</v>
      </c>
      <c r="R655" s="32">
        <v>45582</v>
      </c>
      <c r="V655" s="33">
        <v>100</v>
      </c>
      <c r="W655" s="28">
        <v>64.29</v>
      </c>
      <c r="X655" s="34" t="s">
        <v>54</v>
      </c>
      <c r="Y655" s="33">
        <v>64.29</v>
      </c>
      <c r="AC655" s="28">
        <v>64.29</v>
      </c>
      <c r="AD655" s="34" t="s">
        <v>54</v>
      </c>
      <c r="AE655" s="33">
        <v>64.29</v>
      </c>
      <c r="AN655" s="7" t="s">
        <v>54</v>
      </c>
      <c r="AO655" s="7" t="s">
        <v>55</v>
      </c>
      <c r="AP655" s="7" t="s">
        <v>56</v>
      </c>
      <c r="AT655" s="47" t="s">
        <v>57</v>
      </c>
      <c r="AU655" s="47" t="s">
        <v>57</v>
      </c>
    </row>
    <row r="656" spans="1:47">
      <c r="A656" s="4" t="s">
        <v>48</v>
      </c>
      <c r="C656" s="21"/>
      <c r="D656" s="22" t="s">
        <v>49</v>
      </c>
      <c r="G656" s="23">
        <v>45093</v>
      </c>
      <c r="H656" s="24" t="s">
        <v>1997</v>
      </c>
      <c r="J656" s="28" t="s">
        <v>51</v>
      </c>
      <c r="L656" s="24" t="s">
        <v>1225</v>
      </c>
      <c r="M656" s="1" t="str">
        <f>"34212819640301081X"</f>
        <v>34212819640301081X</v>
      </c>
      <c r="N656" s="24" t="s">
        <v>1225</v>
      </c>
      <c r="O656" s="1" t="str">
        <f>"34212819640301081X"</f>
        <v>34212819640301081X</v>
      </c>
      <c r="P656" s="23" t="s">
        <v>1998</v>
      </c>
      <c r="Q656" s="23">
        <v>45094</v>
      </c>
      <c r="R656" s="32">
        <v>45460</v>
      </c>
      <c r="V656" s="33">
        <v>100</v>
      </c>
      <c r="W656" s="28">
        <v>64.29</v>
      </c>
      <c r="X656" s="34" t="s">
        <v>54</v>
      </c>
      <c r="Y656" s="33">
        <v>64.29</v>
      </c>
      <c r="AC656" s="28">
        <v>64.29</v>
      </c>
      <c r="AD656" s="34" t="s">
        <v>54</v>
      </c>
      <c r="AE656" s="33">
        <v>64.29</v>
      </c>
      <c r="AN656" s="7" t="s">
        <v>54</v>
      </c>
      <c r="AO656" s="7" t="s">
        <v>55</v>
      </c>
      <c r="AP656" s="7" t="s">
        <v>56</v>
      </c>
      <c r="AT656" s="47" t="s">
        <v>57</v>
      </c>
      <c r="AU656" s="47" t="s">
        <v>57</v>
      </c>
    </row>
    <row r="657" spans="1:47">
      <c r="A657" s="4" t="s">
        <v>48</v>
      </c>
      <c r="C657" s="21"/>
      <c r="D657" s="22" t="s">
        <v>49</v>
      </c>
      <c r="G657" s="23">
        <v>45083</v>
      </c>
      <c r="H657" s="24" t="s">
        <v>1999</v>
      </c>
      <c r="J657" s="28" t="s">
        <v>51</v>
      </c>
      <c r="L657" s="24" t="s">
        <v>2000</v>
      </c>
      <c r="M657" s="1" t="str">
        <f>"130224198101024122"</f>
        <v>130224198101024122</v>
      </c>
      <c r="N657" s="24" t="s">
        <v>2000</v>
      </c>
      <c r="O657" s="1" t="str">
        <f>"130224198101024122"</f>
        <v>130224198101024122</v>
      </c>
      <c r="P657" s="23" t="s">
        <v>2001</v>
      </c>
      <c r="Q657" s="23">
        <v>45147</v>
      </c>
      <c r="R657" s="32">
        <v>45513</v>
      </c>
      <c r="V657" s="33">
        <v>100</v>
      </c>
      <c r="W657" s="28">
        <v>64.29</v>
      </c>
      <c r="X657" s="34" t="s">
        <v>54</v>
      </c>
      <c r="Y657" s="33">
        <v>64.29</v>
      </c>
      <c r="AC657" s="28">
        <v>64.29</v>
      </c>
      <c r="AD657" s="34" t="s">
        <v>54</v>
      </c>
      <c r="AE657" s="33">
        <v>64.29</v>
      </c>
      <c r="AN657" s="7" t="s">
        <v>54</v>
      </c>
      <c r="AO657" s="7" t="s">
        <v>55</v>
      </c>
      <c r="AP657" s="7" t="s">
        <v>56</v>
      </c>
      <c r="AT657" s="47" t="s">
        <v>57</v>
      </c>
      <c r="AU657" s="47" t="s">
        <v>57</v>
      </c>
    </row>
    <row r="658" spans="1:47">
      <c r="A658" s="4" t="s">
        <v>48</v>
      </c>
      <c r="C658" s="21"/>
      <c r="D658" s="22" t="s">
        <v>49</v>
      </c>
      <c r="G658" s="23">
        <v>45083</v>
      </c>
      <c r="H658" s="24" t="s">
        <v>2002</v>
      </c>
      <c r="J658" s="28" t="s">
        <v>51</v>
      </c>
      <c r="L658" s="24" t="s">
        <v>2003</v>
      </c>
      <c r="M658" s="1" t="str">
        <f>"120222196704283429"</f>
        <v>120222196704283429</v>
      </c>
      <c r="N658" s="24" t="s">
        <v>2003</v>
      </c>
      <c r="O658" s="1" t="str">
        <f>"120222196704283429"</f>
        <v>120222196704283429</v>
      </c>
      <c r="P658" s="23" t="s">
        <v>2004</v>
      </c>
      <c r="Q658" s="23">
        <v>45084</v>
      </c>
      <c r="R658" s="32">
        <v>45450</v>
      </c>
      <c r="V658" s="33">
        <v>100</v>
      </c>
      <c r="W658" s="28">
        <v>64.29</v>
      </c>
      <c r="X658" s="34" t="s">
        <v>54</v>
      </c>
      <c r="Y658" s="33">
        <v>64.29</v>
      </c>
      <c r="AC658" s="28">
        <v>64.29</v>
      </c>
      <c r="AD658" s="34" t="s">
        <v>54</v>
      </c>
      <c r="AE658" s="33">
        <v>64.29</v>
      </c>
      <c r="AN658" s="7" t="s">
        <v>54</v>
      </c>
      <c r="AO658" s="7" t="s">
        <v>55</v>
      </c>
      <c r="AP658" s="7" t="s">
        <v>56</v>
      </c>
      <c r="AT658" s="47" t="s">
        <v>57</v>
      </c>
      <c r="AU658" s="47" t="s">
        <v>57</v>
      </c>
    </row>
    <row r="659" spans="1:47">
      <c r="A659" s="4" t="s">
        <v>48</v>
      </c>
      <c r="C659" s="21"/>
      <c r="D659" s="22" t="s">
        <v>49</v>
      </c>
      <c r="G659" s="23">
        <v>45083</v>
      </c>
      <c r="H659" s="24" t="s">
        <v>2005</v>
      </c>
      <c r="J659" s="28" t="s">
        <v>51</v>
      </c>
      <c r="L659" s="24" t="s">
        <v>2006</v>
      </c>
      <c r="M659" s="1" t="str">
        <f>"132825198711172051"</f>
        <v>132825198711172051</v>
      </c>
      <c r="N659" s="24" t="s">
        <v>2006</v>
      </c>
      <c r="O659" s="1" t="str">
        <f>"132825198711172051"</f>
        <v>132825198711172051</v>
      </c>
      <c r="P659" s="23" t="s">
        <v>2007</v>
      </c>
      <c r="Q659" s="23">
        <v>45237</v>
      </c>
      <c r="R659" s="32">
        <v>45603</v>
      </c>
      <c r="V659" s="33">
        <v>100</v>
      </c>
      <c r="W659" s="28">
        <v>64.29</v>
      </c>
      <c r="X659" s="34" t="s">
        <v>54</v>
      </c>
      <c r="Y659" s="33">
        <v>64.29</v>
      </c>
      <c r="AC659" s="28">
        <v>64.29</v>
      </c>
      <c r="AD659" s="34" t="s">
        <v>54</v>
      </c>
      <c r="AE659" s="33">
        <v>64.29</v>
      </c>
      <c r="AN659" s="7" t="s">
        <v>54</v>
      </c>
      <c r="AO659" s="7" t="s">
        <v>55</v>
      </c>
      <c r="AP659" s="7" t="s">
        <v>56</v>
      </c>
      <c r="AT659" s="47" t="s">
        <v>57</v>
      </c>
      <c r="AU659" s="47" t="s">
        <v>57</v>
      </c>
    </row>
    <row r="660" spans="1:47">
      <c r="A660" s="4" t="s">
        <v>48</v>
      </c>
      <c r="C660" s="21"/>
      <c r="D660" s="22" t="s">
        <v>49</v>
      </c>
      <c r="G660" s="23">
        <v>45084</v>
      </c>
      <c r="H660" s="24" t="s">
        <v>2008</v>
      </c>
      <c r="J660" s="28" t="s">
        <v>51</v>
      </c>
      <c r="L660" s="24" t="s">
        <v>2009</v>
      </c>
      <c r="M660" s="1" t="str">
        <f>"13100219880303102X"</f>
        <v>13100219880303102X</v>
      </c>
      <c r="N660" s="24" t="s">
        <v>2009</v>
      </c>
      <c r="O660" s="1" t="str">
        <f>"13100219880303102X"</f>
        <v>13100219880303102X</v>
      </c>
      <c r="P660" s="23" t="s">
        <v>2007</v>
      </c>
      <c r="Q660" s="23">
        <v>45085</v>
      </c>
      <c r="R660" s="32">
        <v>45451</v>
      </c>
      <c r="V660" s="33">
        <v>100</v>
      </c>
      <c r="W660" s="28">
        <v>64.29</v>
      </c>
      <c r="X660" s="34" t="s">
        <v>54</v>
      </c>
      <c r="Y660" s="33">
        <v>64.29</v>
      </c>
      <c r="AC660" s="28">
        <v>64.29</v>
      </c>
      <c r="AD660" s="34" t="s">
        <v>54</v>
      </c>
      <c r="AE660" s="33">
        <v>64.29</v>
      </c>
      <c r="AN660" s="7" t="s">
        <v>54</v>
      </c>
      <c r="AO660" s="7" t="s">
        <v>55</v>
      </c>
      <c r="AP660" s="7" t="s">
        <v>56</v>
      </c>
      <c r="AT660" s="47" t="s">
        <v>57</v>
      </c>
      <c r="AU660" s="47" t="s">
        <v>57</v>
      </c>
    </row>
    <row r="661" spans="1:47">
      <c r="A661" s="4" t="s">
        <v>48</v>
      </c>
      <c r="C661" s="21"/>
      <c r="D661" s="22" t="s">
        <v>49</v>
      </c>
      <c r="G661" s="23">
        <v>45098</v>
      </c>
      <c r="H661" s="24" t="s">
        <v>2010</v>
      </c>
      <c r="J661" s="28" t="s">
        <v>51</v>
      </c>
      <c r="L661" s="24" t="s">
        <v>2011</v>
      </c>
      <c r="M661" s="1" t="str">
        <f>"132825195703112047"</f>
        <v>132825195703112047</v>
      </c>
      <c r="N661" s="24" t="s">
        <v>2011</v>
      </c>
      <c r="O661" s="1" t="str">
        <f>"132825195703112047"</f>
        <v>132825195703112047</v>
      </c>
      <c r="P661" s="23" t="s">
        <v>2007</v>
      </c>
      <c r="Q661" s="23">
        <v>45209</v>
      </c>
      <c r="R661" s="32">
        <v>45575</v>
      </c>
      <c r="V661" s="33">
        <v>200</v>
      </c>
      <c r="W661" s="28">
        <v>64.29</v>
      </c>
      <c r="X661" s="34" t="s">
        <v>54</v>
      </c>
      <c r="Y661" s="33">
        <v>128.58</v>
      </c>
      <c r="AC661" s="28">
        <v>64.29</v>
      </c>
      <c r="AD661" s="34" t="s">
        <v>54</v>
      </c>
      <c r="AE661" s="33">
        <v>128.58</v>
      </c>
      <c r="AN661" s="7" t="s">
        <v>54</v>
      </c>
      <c r="AO661" s="7" t="s">
        <v>55</v>
      </c>
      <c r="AP661" s="7" t="s">
        <v>56</v>
      </c>
      <c r="AT661" s="47" t="s">
        <v>57</v>
      </c>
      <c r="AU661" s="47" t="s">
        <v>57</v>
      </c>
    </row>
    <row r="662" spans="1:47">
      <c r="A662" s="4" t="s">
        <v>48</v>
      </c>
      <c r="C662" s="21"/>
      <c r="D662" s="22" t="s">
        <v>49</v>
      </c>
      <c r="G662" s="23">
        <v>45084</v>
      </c>
      <c r="H662" s="24" t="s">
        <v>2012</v>
      </c>
      <c r="J662" s="28" t="s">
        <v>51</v>
      </c>
      <c r="L662" s="24" t="s">
        <v>2013</v>
      </c>
      <c r="M662" s="1" t="str">
        <f>"120222197408184818"</f>
        <v>120222197408184818</v>
      </c>
      <c r="N662" s="24" t="s">
        <v>2013</v>
      </c>
      <c r="O662" s="1" t="str">
        <f>"120222197408184818"</f>
        <v>120222197408184818</v>
      </c>
      <c r="P662" s="23" t="s">
        <v>2014</v>
      </c>
      <c r="Q662" s="23">
        <v>45085</v>
      </c>
      <c r="R662" s="32">
        <v>45451</v>
      </c>
      <c r="V662" s="33">
        <v>50</v>
      </c>
      <c r="W662" s="28">
        <v>64.29</v>
      </c>
      <c r="X662" s="34" t="s">
        <v>54</v>
      </c>
      <c r="Y662" s="33">
        <v>32.15</v>
      </c>
      <c r="AC662" s="28">
        <v>64.29</v>
      </c>
      <c r="AD662" s="34" t="s">
        <v>54</v>
      </c>
      <c r="AE662" s="33">
        <v>32.15</v>
      </c>
      <c r="AN662" s="7" t="s">
        <v>54</v>
      </c>
      <c r="AO662" s="7" t="s">
        <v>55</v>
      </c>
      <c r="AP662" s="7" t="s">
        <v>56</v>
      </c>
      <c r="AT662" s="47" t="s">
        <v>57</v>
      </c>
      <c r="AU662" s="47" t="s">
        <v>57</v>
      </c>
    </row>
    <row r="663" spans="1:47">
      <c r="A663" s="4" t="s">
        <v>48</v>
      </c>
      <c r="C663" s="21"/>
      <c r="D663" s="22" t="s">
        <v>49</v>
      </c>
      <c r="G663" s="23">
        <v>45085</v>
      </c>
      <c r="H663" s="24" t="s">
        <v>2015</v>
      </c>
      <c r="J663" s="28" t="s">
        <v>51</v>
      </c>
      <c r="L663" s="24" t="s">
        <v>2016</v>
      </c>
      <c r="M663" s="1" t="str">
        <f>"13108219781111077X"</f>
        <v>13108219781111077X</v>
      </c>
      <c r="N663" s="24" t="s">
        <v>2016</v>
      </c>
      <c r="O663" s="1" t="str">
        <f>"13108219781111077X"</f>
        <v>13108219781111077X</v>
      </c>
      <c r="P663" s="23" t="s">
        <v>2017</v>
      </c>
      <c r="Q663" s="23">
        <v>45086</v>
      </c>
      <c r="R663" s="32">
        <v>45452</v>
      </c>
      <c r="V663" s="33">
        <v>50</v>
      </c>
      <c r="W663" s="28">
        <v>64.29</v>
      </c>
      <c r="X663" s="34" t="s">
        <v>54</v>
      </c>
      <c r="Y663" s="33">
        <v>32.15</v>
      </c>
      <c r="AC663" s="28">
        <v>64.29</v>
      </c>
      <c r="AD663" s="34" t="s">
        <v>54</v>
      </c>
      <c r="AE663" s="33">
        <v>32.15</v>
      </c>
      <c r="AN663" s="7" t="s">
        <v>54</v>
      </c>
      <c r="AO663" s="7" t="s">
        <v>55</v>
      </c>
      <c r="AP663" s="7" t="s">
        <v>56</v>
      </c>
      <c r="AT663" s="47" t="s">
        <v>57</v>
      </c>
      <c r="AU663" s="47" t="s">
        <v>57</v>
      </c>
    </row>
    <row r="664" spans="1:47">
      <c r="A664" s="4" t="s">
        <v>48</v>
      </c>
      <c r="C664" s="21"/>
      <c r="D664" s="22" t="s">
        <v>49</v>
      </c>
      <c r="G664" s="23">
        <v>45083</v>
      </c>
      <c r="H664" s="24" t="s">
        <v>2018</v>
      </c>
      <c r="J664" s="28" t="s">
        <v>51</v>
      </c>
      <c r="L664" s="24" t="s">
        <v>2019</v>
      </c>
      <c r="M664" s="1" t="str">
        <f>"342128197105106818"</f>
        <v>342128197105106818</v>
      </c>
      <c r="N664" s="24" t="s">
        <v>2019</v>
      </c>
      <c r="O664" s="1" t="str">
        <f>"342128197105106818"</f>
        <v>342128197105106818</v>
      </c>
      <c r="P664" s="23" t="s">
        <v>2020</v>
      </c>
      <c r="Q664" s="23">
        <v>45084</v>
      </c>
      <c r="R664" s="32">
        <v>45450</v>
      </c>
      <c r="V664" s="33">
        <v>50</v>
      </c>
      <c r="W664" s="28">
        <v>64.29</v>
      </c>
      <c r="X664" s="34" t="s">
        <v>54</v>
      </c>
      <c r="Y664" s="33">
        <v>32.15</v>
      </c>
      <c r="AC664" s="28">
        <v>64.29</v>
      </c>
      <c r="AD664" s="34" t="s">
        <v>54</v>
      </c>
      <c r="AE664" s="33">
        <v>32.15</v>
      </c>
      <c r="AN664" s="7" t="s">
        <v>54</v>
      </c>
      <c r="AO664" s="7" t="s">
        <v>55</v>
      </c>
      <c r="AP664" s="7" t="s">
        <v>56</v>
      </c>
      <c r="AT664" s="47" t="s">
        <v>57</v>
      </c>
      <c r="AU664" s="47" t="s">
        <v>57</v>
      </c>
    </row>
    <row r="665" spans="1:47">
      <c r="A665" s="4" t="s">
        <v>48</v>
      </c>
      <c r="C665" s="21"/>
      <c r="D665" s="22" t="s">
        <v>49</v>
      </c>
      <c r="G665" s="23">
        <v>45085</v>
      </c>
      <c r="H665" s="24" t="s">
        <v>2021</v>
      </c>
      <c r="J665" s="28" t="s">
        <v>51</v>
      </c>
      <c r="L665" s="24" t="s">
        <v>2022</v>
      </c>
      <c r="M665" s="1" t="str">
        <f>"370782198908012451"</f>
        <v>370782198908012451</v>
      </c>
      <c r="N665" s="24" t="s">
        <v>2022</v>
      </c>
      <c r="O665" s="1" t="str">
        <f>"370782198908012451"</f>
        <v>370782198908012451</v>
      </c>
      <c r="P665" s="23" t="s">
        <v>2023</v>
      </c>
      <c r="Q665" s="23">
        <v>45086</v>
      </c>
      <c r="R665" s="32">
        <v>45452</v>
      </c>
      <c r="V665" s="33">
        <v>50</v>
      </c>
      <c r="W665" s="28">
        <v>64.29</v>
      </c>
      <c r="X665" s="34" t="s">
        <v>54</v>
      </c>
      <c r="Y665" s="33">
        <v>32.15</v>
      </c>
      <c r="AC665" s="28">
        <v>64.29</v>
      </c>
      <c r="AD665" s="34" t="s">
        <v>54</v>
      </c>
      <c r="AE665" s="33">
        <v>32.15</v>
      </c>
      <c r="AN665" s="7" t="s">
        <v>54</v>
      </c>
      <c r="AO665" s="7" t="s">
        <v>55</v>
      </c>
      <c r="AP665" s="7" t="s">
        <v>56</v>
      </c>
      <c r="AT665" s="47" t="s">
        <v>57</v>
      </c>
      <c r="AU665" s="47" t="s">
        <v>57</v>
      </c>
    </row>
    <row r="666" spans="1:47">
      <c r="A666" s="4" t="s">
        <v>48</v>
      </c>
      <c r="C666" s="21"/>
      <c r="D666" s="22" t="s">
        <v>49</v>
      </c>
      <c r="G666" s="23">
        <v>45084</v>
      </c>
      <c r="H666" s="24" t="s">
        <v>2024</v>
      </c>
      <c r="J666" s="28" t="s">
        <v>51</v>
      </c>
      <c r="L666" s="24" t="s">
        <v>2025</v>
      </c>
      <c r="M666" s="1" t="str">
        <f>"342224197305180262"</f>
        <v>342224197305180262</v>
      </c>
      <c r="N666" s="24" t="s">
        <v>2025</v>
      </c>
      <c r="O666" s="1" t="str">
        <f>"342224197305180262"</f>
        <v>342224197305180262</v>
      </c>
      <c r="P666" s="23" t="s">
        <v>2026</v>
      </c>
      <c r="Q666" s="23">
        <v>45085</v>
      </c>
      <c r="R666" s="32">
        <v>45451</v>
      </c>
      <c r="V666" s="33">
        <v>50</v>
      </c>
      <c r="W666" s="28">
        <v>64.29</v>
      </c>
      <c r="X666" s="34" t="s">
        <v>54</v>
      </c>
      <c r="Y666" s="33">
        <v>32.15</v>
      </c>
      <c r="AC666" s="28">
        <v>64.29</v>
      </c>
      <c r="AD666" s="34" t="s">
        <v>54</v>
      </c>
      <c r="AE666" s="33">
        <v>32.15</v>
      </c>
      <c r="AN666" s="7" t="s">
        <v>54</v>
      </c>
      <c r="AO666" s="7" t="s">
        <v>55</v>
      </c>
      <c r="AP666" s="7" t="s">
        <v>56</v>
      </c>
      <c r="AT666" s="47" t="s">
        <v>57</v>
      </c>
      <c r="AU666" s="47" t="s">
        <v>57</v>
      </c>
    </row>
    <row r="667" spans="1:47">
      <c r="A667" s="4" t="s">
        <v>48</v>
      </c>
      <c r="C667" s="21"/>
      <c r="D667" s="22" t="s">
        <v>49</v>
      </c>
      <c r="G667" s="23">
        <v>45084</v>
      </c>
      <c r="H667" s="24" t="s">
        <v>2027</v>
      </c>
      <c r="J667" s="28" t="s">
        <v>51</v>
      </c>
      <c r="L667" s="24" t="s">
        <v>2028</v>
      </c>
      <c r="M667" s="1" t="str">
        <f>"11010419880306081X"</f>
        <v>11010419880306081X</v>
      </c>
      <c r="N667" s="24" t="s">
        <v>2028</v>
      </c>
      <c r="O667" s="1" t="str">
        <f>"11010419880306081X"</f>
        <v>11010419880306081X</v>
      </c>
      <c r="P667" s="23" t="s">
        <v>2029</v>
      </c>
      <c r="Q667" s="23">
        <v>45085</v>
      </c>
      <c r="R667" s="32">
        <v>45451</v>
      </c>
      <c r="V667" s="33">
        <v>50</v>
      </c>
      <c r="W667" s="28">
        <v>64.29</v>
      </c>
      <c r="X667" s="34" t="s">
        <v>54</v>
      </c>
      <c r="Y667" s="33">
        <v>32.15</v>
      </c>
      <c r="AC667" s="28">
        <v>64.29</v>
      </c>
      <c r="AD667" s="34" t="s">
        <v>54</v>
      </c>
      <c r="AE667" s="33">
        <v>32.15</v>
      </c>
      <c r="AN667" s="7" t="s">
        <v>54</v>
      </c>
      <c r="AO667" s="7" t="s">
        <v>55</v>
      </c>
      <c r="AP667" s="7" t="s">
        <v>56</v>
      </c>
      <c r="AT667" s="47" t="s">
        <v>57</v>
      </c>
      <c r="AU667" s="47" t="s">
        <v>57</v>
      </c>
    </row>
    <row r="668" spans="1:47">
      <c r="A668" s="4" t="s">
        <v>48</v>
      </c>
      <c r="C668" s="21"/>
      <c r="D668" s="22" t="s">
        <v>49</v>
      </c>
      <c r="G668" s="23">
        <v>45094</v>
      </c>
      <c r="H668" s="24" t="s">
        <v>2030</v>
      </c>
      <c r="J668" s="28" t="s">
        <v>51</v>
      </c>
      <c r="L668" s="24" t="s">
        <v>2031</v>
      </c>
      <c r="M668" s="1" t="str">
        <f>"132530198006140032"</f>
        <v>132530198006140032</v>
      </c>
      <c r="N668" s="24" t="s">
        <v>2031</v>
      </c>
      <c r="O668" s="1" t="str">
        <f>"132530198006140032"</f>
        <v>132530198006140032</v>
      </c>
      <c r="P668" s="23" t="s">
        <v>2032</v>
      </c>
      <c r="Q668" s="23">
        <v>45095</v>
      </c>
      <c r="R668" s="32">
        <v>45461</v>
      </c>
      <c r="V668" s="33">
        <v>100</v>
      </c>
      <c r="W668" s="28">
        <v>64.29</v>
      </c>
      <c r="X668" s="34" t="s">
        <v>54</v>
      </c>
      <c r="Y668" s="33">
        <v>64.29</v>
      </c>
      <c r="AC668" s="28">
        <v>64.29</v>
      </c>
      <c r="AD668" s="34" t="s">
        <v>54</v>
      </c>
      <c r="AE668" s="33">
        <v>64.29</v>
      </c>
      <c r="AN668" s="7" t="s">
        <v>54</v>
      </c>
      <c r="AO668" s="7" t="s">
        <v>55</v>
      </c>
      <c r="AP668" s="7" t="s">
        <v>56</v>
      </c>
      <c r="AT668" s="47" t="s">
        <v>57</v>
      </c>
      <c r="AU668" s="47" t="s">
        <v>57</v>
      </c>
    </row>
    <row r="669" spans="1:47">
      <c r="A669" s="4" t="s">
        <v>48</v>
      </c>
      <c r="C669" s="21"/>
      <c r="D669" s="22" t="s">
        <v>49</v>
      </c>
      <c r="G669" s="23">
        <v>45096</v>
      </c>
      <c r="H669" s="24" t="s">
        <v>2033</v>
      </c>
      <c r="J669" s="28" t="s">
        <v>51</v>
      </c>
      <c r="L669" s="24" t="s">
        <v>2034</v>
      </c>
      <c r="M669" s="1" t="str">
        <f>"342101195509105636"</f>
        <v>342101195509105636</v>
      </c>
      <c r="N669" s="24" t="s">
        <v>2034</v>
      </c>
      <c r="O669" s="1" t="str">
        <f>"342101195509105636"</f>
        <v>342101195509105636</v>
      </c>
      <c r="P669" s="23" t="s">
        <v>2035</v>
      </c>
      <c r="Q669" s="23">
        <v>45097</v>
      </c>
      <c r="R669" s="32">
        <v>45463</v>
      </c>
      <c r="V669" s="33">
        <v>100</v>
      </c>
      <c r="W669" s="28">
        <v>64.29</v>
      </c>
      <c r="X669" s="34" t="s">
        <v>54</v>
      </c>
      <c r="Y669" s="33">
        <v>64.29</v>
      </c>
      <c r="AC669" s="28">
        <v>64.29</v>
      </c>
      <c r="AD669" s="34" t="s">
        <v>54</v>
      </c>
      <c r="AE669" s="33">
        <v>64.29</v>
      </c>
      <c r="AN669" s="7" t="s">
        <v>54</v>
      </c>
      <c r="AO669" s="7" t="s">
        <v>55</v>
      </c>
      <c r="AP669" s="7" t="s">
        <v>56</v>
      </c>
      <c r="AT669" s="47" t="s">
        <v>57</v>
      </c>
      <c r="AU669" s="47" t="s">
        <v>57</v>
      </c>
    </row>
    <row r="670" spans="1:47">
      <c r="A670" s="4" t="s">
        <v>48</v>
      </c>
      <c r="C670" s="21"/>
      <c r="D670" s="22" t="s">
        <v>49</v>
      </c>
      <c r="G670" s="23">
        <v>45096</v>
      </c>
      <c r="H670" s="24" t="s">
        <v>2036</v>
      </c>
      <c r="J670" s="28" t="s">
        <v>51</v>
      </c>
      <c r="L670" s="24" t="s">
        <v>2037</v>
      </c>
      <c r="M670" s="1" t="str">
        <f>"110104195804241256"</f>
        <v>110104195804241256</v>
      </c>
      <c r="N670" s="24" t="s">
        <v>2037</v>
      </c>
      <c r="O670" s="1" t="str">
        <f>"110104195804241256"</f>
        <v>110104195804241256</v>
      </c>
      <c r="P670" s="23" t="s">
        <v>2038</v>
      </c>
      <c r="Q670" s="23">
        <v>45219</v>
      </c>
      <c r="R670" s="32">
        <v>45585</v>
      </c>
      <c r="V670" s="33">
        <v>100</v>
      </c>
      <c r="W670" s="28">
        <v>64.29</v>
      </c>
      <c r="X670" s="34" t="s">
        <v>54</v>
      </c>
      <c r="Y670" s="33">
        <v>64.29</v>
      </c>
      <c r="AC670" s="28">
        <v>64.29</v>
      </c>
      <c r="AD670" s="34" t="s">
        <v>54</v>
      </c>
      <c r="AE670" s="33">
        <v>64.29</v>
      </c>
      <c r="AN670" s="7" t="s">
        <v>54</v>
      </c>
      <c r="AO670" s="7" t="s">
        <v>55</v>
      </c>
      <c r="AP670" s="7" t="s">
        <v>56</v>
      </c>
      <c r="AT670" s="47" t="s">
        <v>57</v>
      </c>
      <c r="AU670" s="47" t="s">
        <v>57</v>
      </c>
    </row>
    <row r="671" spans="1:47">
      <c r="A671" s="4" t="s">
        <v>48</v>
      </c>
      <c r="C671" s="21"/>
      <c r="D671" s="22" t="s">
        <v>49</v>
      </c>
      <c r="G671" s="23">
        <v>45083</v>
      </c>
      <c r="H671" s="24" t="s">
        <v>2039</v>
      </c>
      <c r="J671" s="28" t="s">
        <v>51</v>
      </c>
      <c r="L671" s="24" t="s">
        <v>2040</v>
      </c>
      <c r="M671" s="1" t="str">
        <f>"120222199410302640"</f>
        <v>120222199410302640</v>
      </c>
      <c r="N671" s="24" t="s">
        <v>2040</v>
      </c>
      <c r="O671" s="1" t="str">
        <f>"120222199410302640"</f>
        <v>120222199410302640</v>
      </c>
      <c r="P671" s="23" t="s">
        <v>2041</v>
      </c>
      <c r="Q671" s="23">
        <v>45084</v>
      </c>
      <c r="R671" s="32">
        <v>45450</v>
      </c>
      <c r="V671" s="33">
        <v>100</v>
      </c>
      <c r="W671" s="28">
        <v>64.29</v>
      </c>
      <c r="X671" s="34" t="s">
        <v>54</v>
      </c>
      <c r="Y671" s="33">
        <v>64.29</v>
      </c>
      <c r="AC671" s="28">
        <v>64.29</v>
      </c>
      <c r="AD671" s="34" t="s">
        <v>54</v>
      </c>
      <c r="AE671" s="33">
        <v>64.29</v>
      </c>
      <c r="AN671" s="7" t="s">
        <v>54</v>
      </c>
      <c r="AO671" s="7" t="s">
        <v>55</v>
      </c>
      <c r="AP671" s="7" t="s">
        <v>56</v>
      </c>
      <c r="AT671" s="47" t="s">
        <v>57</v>
      </c>
      <c r="AU671" s="47" t="s">
        <v>57</v>
      </c>
    </row>
    <row r="672" spans="1:47">
      <c r="A672" s="4" t="s">
        <v>48</v>
      </c>
      <c r="C672" s="21"/>
      <c r="D672" s="22" t="s">
        <v>49</v>
      </c>
      <c r="G672" s="23">
        <v>45084</v>
      </c>
      <c r="H672" s="24" t="s">
        <v>2042</v>
      </c>
      <c r="J672" s="28" t="s">
        <v>51</v>
      </c>
      <c r="L672" s="24" t="s">
        <v>2043</v>
      </c>
      <c r="M672" s="1" t="str">
        <f>"132821196903157126"</f>
        <v>132821196903157126</v>
      </c>
      <c r="N672" s="24" t="s">
        <v>2043</v>
      </c>
      <c r="O672" s="1" t="str">
        <f>"132821196903157126"</f>
        <v>132821196903157126</v>
      </c>
      <c r="P672" s="23" t="s">
        <v>2044</v>
      </c>
      <c r="Q672" s="23">
        <v>45085</v>
      </c>
      <c r="R672" s="32">
        <v>45451</v>
      </c>
      <c r="V672" s="33">
        <v>100</v>
      </c>
      <c r="W672" s="28">
        <v>64.29</v>
      </c>
      <c r="X672" s="34" t="s">
        <v>54</v>
      </c>
      <c r="Y672" s="33">
        <v>64.29</v>
      </c>
      <c r="AC672" s="28">
        <v>64.29</v>
      </c>
      <c r="AD672" s="34" t="s">
        <v>54</v>
      </c>
      <c r="AE672" s="33">
        <v>64.29</v>
      </c>
      <c r="AN672" s="7" t="s">
        <v>54</v>
      </c>
      <c r="AO672" s="7" t="s">
        <v>55</v>
      </c>
      <c r="AP672" s="7" t="s">
        <v>56</v>
      </c>
      <c r="AT672" s="47" t="s">
        <v>57</v>
      </c>
      <c r="AU672" s="47" t="s">
        <v>57</v>
      </c>
    </row>
    <row r="673" spans="1:47">
      <c r="A673" s="4" t="s">
        <v>48</v>
      </c>
      <c r="C673" s="21"/>
      <c r="D673" s="22" t="s">
        <v>49</v>
      </c>
      <c r="G673" s="23">
        <v>45084</v>
      </c>
      <c r="H673" s="24" t="s">
        <v>2045</v>
      </c>
      <c r="J673" s="28" t="s">
        <v>51</v>
      </c>
      <c r="L673" s="24" t="s">
        <v>2046</v>
      </c>
      <c r="M673" s="1" t="str">
        <f>"130731199209232017"</f>
        <v>130731199209232017</v>
      </c>
      <c r="N673" s="24" t="s">
        <v>2046</v>
      </c>
      <c r="O673" s="1" t="str">
        <f>"130731199209232017"</f>
        <v>130731199209232017</v>
      </c>
      <c r="P673" s="23" t="s">
        <v>2047</v>
      </c>
      <c r="Q673" s="23">
        <v>45085</v>
      </c>
      <c r="R673" s="32">
        <v>45451</v>
      </c>
      <c r="V673" s="33">
        <v>100</v>
      </c>
      <c r="W673" s="28">
        <v>64.29</v>
      </c>
      <c r="X673" s="34" t="s">
        <v>54</v>
      </c>
      <c r="Y673" s="33">
        <v>64.29</v>
      </c>
      <c r="AC673" s="28">
        <v>64.29</v>
      </c>
      <c r="AD673" s="34" t="s">
        <v>54</v>
      </c>
      <c r="AE673" s="33">
        <v>64.29</v>
      </c>
      <c r="AN673" s="7" t="s">
        <v>54</v>
      </c>
      <c r="AO673" s="7" t="s">
        <v>55</v>
      </c>
      <c r="AP673" s="7" t="s">
        <v>56</v>
      </c>
      <c r="AT673" s="47" t="s">
        <v>57</v>
      </c>
      <c r="AU673" s="47" t="s">
        <v>57</v>
      </c>
    </row>
    <row r="674" spans="1:47">
      <c r="A674" s="4" t="s">
        <v>48</v>
      </c>
      <c r="C674" s="21"/>
      <c r="D674" s="22" t="s">
        <v>49</v>
      </c>
      <c r="G674" s="23">
        <v>45082</v>
      </c>
      <c r="H674" s="24" t="s">
        <v>2048</v>
      </c>
      <c r="J674" s="28" t="s">
        <v>51</v>
      </c>
      <c r="L674" s="24" t="s">
        <v>2049</v>
      </c>
      <c r="M674" s="1" t="str">
        <f>"110106196406051841"</f>
        <v>110106196406051841</v>
      </c>
      <c r="N674" s="24" t="s">
        <v>2049</v>
      </c>
      <c r="O674" s="1" t="str">
        <f>"110106196406051841"</f>
        <v>110106196406051841</v>
      </c>
      <c r="P674" s="23" t="s">
        <v>2050</v>
      </c>
      <c r="Q674" s="23">
        <v>45083</v>
      </c>
      <c r="R674" s="32">
        <v>45449</v>
      </c>
      <c r="V674" s="33">
        <v>100</v>
      </c>
      <c r="W674" s="28">
        <v>64.29</v>
      </c>
      <c r="X674" s="34" t="s">
        <v>54</v>
      </c>
      <c r="Y674" s="33">
        <v>64.29</v>
      </c>
      <c r="AC674" s="28">
        <v>64.29</v>
      </c>
      <c r="AD674" s="34" t="s">
        <v>54</v>
      </c>
      <c r="AE674" s="33">
        <v>64.29</v>
      </c>
      <c r="AN674" s="7" t="s">
        <v>54</v>
      </c>
      <c r="AO674" s="7" t="s">
        <v>55</v>
      </c>
      <c r="AP674" s="7" t="s">
        <v>56</v>
      </c>
      <c r="AT674" s="47" t="s">
        <v>57</v>
      </c>
      <c r="AU674" s="47" t="s">
        <v>57</v>
      </c>
    </row>
    <row r="675" spans="1:47">
      <c r="A675" s="4" t="s">
        <v>48</v>
      </c>
      <c r="C675" s="21"/>
      <c r="D675" s="22" t="s">
        <v>49</v>
      </c>
      <c r="G675" s="23">
        <v>45084</v>
      </c>
      <c r="H675" s="24" t="s">
        <v>2051</v>
      </c>
      <c r="J675" s="28" t="s">
        <v>51</v>
      </c>
      <c r="L675" s="24" t="s">
        <v>2052</v>
      </c>
      <c r="M675" s="1" t="str">
        <f>"120222198301074226"</f>
        <v>120222198301074226</v>
      </c>
      <c r="N675" s="24" t="s">
        <v>2052</v>
      </c>
      <c r="O675" s="1" t="str">
        <f>"120222198301074226"</f>
        <v>120222198301074226</v>
      </c>
      <c r="P675" s="23" t="s">
        <v>2053</v>
      </c>
      <c r="Q675" s="23">
        <v>45097</v>
      </c>
      <c r="R675" s="32">
        <v>45463</v>
      </c>
      <c r="V675" s="33">
        <v>100</v>
      </c>
      <c r="W675" s="28">
        <v>64.29</v>
      </c>
      <c r="X675" s="34" t="s">
        <v>54</v>
      </c>
      <c r="Y675" s="33">
        <v>64.29</v>
      </c>
      <c r="AC675" s="28">
        <v>64.29</v>
      </c>
      <c r="AD675" s="34" t="s">
        <v>54</v>
      </c>
      <c r="AE675" s="33">
        <v>64.29</v>
      </c>
      <c r="AN675" s="7" t="s">
        <v>54</v>
      </c>
      <c r="AO675" s="7" t="s">
        <v>55</v>
      </c>
      <c r="AP675" s="7" t="s">
        <v>56</v>
      </c>
      <c r="AT675" s="47" t="s">
        <v>57</v>
      </c>
      <c r="AU675" s="47" t="s">
        <v>57</v>
      </c>
    </row>
    <row r="676" spans="1:47">
      <c r="A676" s="4" t="s">
        <v>48</v>
      </c>
      <c r="C676" s="21"/>
      <c r="D676" s="22" t="s">
        <v>49</v>
      </c>
      <c r="G676" s="23">
        <v>45096</v>
      </c>
      <c r="H676" s="24" t="s">
        <v>2054</v>
      </c>
      <c r="J676" s="28" t="s">
        <v>51</v>
      </c>
      <c r="L676" s="24" t="s">
        <v>2055</v>
      </c>
      <c r="M676" s="1" t="str">
        <f>"142601198112019717"</f>
        <v>142601198112019717</v>
      </c>
      <c r="N676" s="24" t="s">
        <v>2055</v>
      </c>
      <c r="O676" s="1" t="str">
        <f>"142601198112019717"</f>
        <v>142601198112019717</v>
      </c>
      <c r="P676" s="23" t="s">
        <v>2056</v>
      </c>
      <c r="Q676" s="23">
        <v>45097</v>
      </c>
      <c r="R676" s="32">
        <v>45463</v>
      </c>
      <c r="V676" s="33">
        <v>200</v>
      </c>
      <c r="W676" s="28">
        <v>64.29</v>
      </c>
      <c r="X676" s="34" t="s">
        <v>54</v>
      </c>
      <c r="Y676" s="33">
        <v>128.58</v>
      </c>
      <c r="AC676" s="28">
        <v>64.29</v>
      </c>
      <c r="AD676" s="34" t="s">
        <v>54</v>
      </c>
      <c r="AE676" s="33">
        <v>128.58</v>
      </c>
      <c r="AN676" s="7" t="s">
        <v>54</v>
      </c>
      <c r="AO676" s="7" t="s">
        <v>55</v>
      </c>
      <c r="AP676" s="7" t="s">
        <v>56</v>
      </c>
      <c r="AT676" s="47" t="s">
        <v>57</v>
      </c>
      <c r="AU676" s="47" t="s">
        <v>57</v>
      </c>
    </row>
    <row r="677" spans="1:47">
      <c r="A677" s="4" t="s">
        <v>48</v>
      </c>
      <c r="C677" s="21"/>
      <c r="D677" s="22" t="s">
        <v>49</v>
      </c>
      <c r="G677" s="23">
        <v>45097</v>
      </c>
      <c r="H677" s="24" t="s">
        <v>2057</v>
      </c>
      <c r="J677" s="28" t="s">
        <v>51</v>
      </c>
      <c r="L677" s="24" t="s">
        <v>2058</v>
      </c>
      <c r="M677" s="1" t="str">
        <f>"132826197103183832"</f>
        <v>132826197103183832</v>
      </c>
      <c r="N677" s="24" t="s">
        <v>2058</v>
      </c>
      <c r="O677" s="1" t="str">
        <f>"132826197103183832"</f>
        <v>132826197103183832</v>
      </c>
      <c r="P677" s="23" t="s">
        <v>2059</v>
      </c>
      <c r="Q677" s="23">
        <v>45230</v>
      </c>
      <c r="R677" s="32">
        <v>45596</v>
      </c>
      <c r="V677" s="33">
        <v>200</v>
      </c>
      <c r="W677" s="28">
        <v>64.29</v>
      </c>
      <c r="X677" s="34" t="s">
        <v>54</v>
      </c>
      <c r="Y677" s="33">
        <v>128.58</v>
      </c>
      <c r="AC677" s="28">
        <v>64.29</v>
      </c>
      <c r="AD677" s="34" t="s">
        <v>54</v>
      </c>
      <c r="AE677" s="33">
        <v>128.58</v>
      </c>
      <c r="AN677" s="7" t="s">
        <v>54</v>
      </c>
      <c r="AO677" s="7" t="s">
        <v>55</v>
      </c>
      <c r="AP677" s="7" t="s">
        <v>56</v>
      </c>
      <c r="AT677" s="47" t="s">
        <v>57</v>
      </c>
      <c r="AU677" s="47" t="s">
        <v>57</v>
      </c>
    </row>
    <row r="678" spans="1:47">
      <c r="A678" s="4" t="s">
        <v>48</v>
      </c>
      <c r="C678" s="21"/>
      <c r="D678" s="22" t="s">
        <v>49</v>
      </c>
      <c r="G678" s="23">
        <v>45093</v>
      </c>
      <c r="H678" s="24" t="s">
        <v>2060</v>
      </c>
      <c r="J678" s="28" t="s">
        <v>51</v>
      </c>
      <c r="L678" s="24" t="s">
        <v>2061</v>
      </c>
      <c r="M678" s="1" t="str">
        <f>"120222196005213819"</f>
        <v>120222196005213819</v>
      </c>
      <c r="N678" s="24" t="s">
        <v>2061</v>
      </c>
      <c r="O678" s="1" t="str">
        <f>"120222196005213819"</f>
        <v>120222196005213819</v>
      </c>
      <c r="P678" s="23" t="s">
        <v>2062</v>
      </c>
      <c r="Q678" s="23">
        <v>45094</v>
      </c>
      <c r="R678" s="32">
        <v>45460</v>
      </c>
      <c r="V678" s="33">
        <v>200</v>
      </c>
      <c r="W678" s="28">
        <v>64.29</v>
      </c>
      <c r="X678" s="34" t="s">
        <v>54</v>
      </c>
      <c r="Y678" s="33">
        <v>128.58</v>
      </c>
      <c r="AC678" s="28">
        <v>64.29</v>
      </c>
      <c r="AD678" s="34" t="s">
        <v>54</v>
      </c>
      <c r="AE678" s="33">
        <v>128.58</v>
      </c>
      <c r="AN678" s="7" t="s">
        <v>54</v>
      </c>
      <c r="AO678" s="7" t="s">
        <v>55</v>
      </c>
      <c r="AP678" s="7" t="s">
        <v>56</v>
      </c>
      <c r="AT678" s="47" t="s">
        <v>57</v>
      </c>
      <c r="AU678" s="47" t="s">
        <v>57</v>
      </c>
    </row>
    <row r="679" spans="1:47">
      <c r="A679" s="4" t="s">
        <v>48</v>
      </c>
      <c r="C679" s="21"/>
      <c r="D679" s="22" t="s">
        <v>49</v>
      </c>
      <c r="G679" s="23">
        <v>45093</v>
      </c>
      <c r="H679" s="24" t="s">
        <v>2063</v>
      </c>
      <c r="J679" s="28" t="s">
        <v>51</v>
      </c>
      <c r="L679" s="24" t="s">
        <v>2064</v>
      </c>
      <c r="M679" s="1" t="str">
        <f>"110106195808151234"</f>
        <v>110106195808151234</v>
      </c>
      <c r="N679" s="24" t="s">
        <v>2064</v>
      </c>
      <c r="O679" s="1" t="str">
        <f>"110106195808151234"</f>
        <v>110106195808151234</v>
      </c>
      <c r="P679" s="23" t="s">
        <v>2065</v>
      </c>
      <c r="Q679" s="23">
        <v>45094</v>
      </c>
      <c r="R679" s="32">
        <v>45460</v>
      </c>
      <c r="V679" s="33">
        <v>200</v>
      </c>
      <c r="W679" s="28">
        <v>64.29</v>
      </c>
      <c r="X679" s="34" t="s">
        <v>54</v>
      </c>
      <c r="Y679" s="33">
        <v>128.58</v>
      </c>
      <c r="AC679" s="28">
        <v>64.29</v>
      </c>
      <c r="AD679" s="34" t="s">
        <v>54</v>
      </c>
      <c r="AE679" s="33">
        <v>128.58</v>
      </c>
      <c r="AN679" s="7" t="s">
        <v>54</v>
      </c>
      <c r="AO679" s="7" t="s">
        <v>55</v>
      </c>
      <c r="AP679" s="7" t="s">
        <v>56</v>
      </c>
      <c r="AT679" s="47" t="s">
        <v>57</v>
      </c>
      <c r="AU679" s="47" t="s">
        <v>57</v>
      </c>
    </row>
    <row r="680" spans="1:47">
      <c r="A680" s="4" t="s">
        <v>48</v>
      </c>
      <c r="C680" s="21"/>
      <c r="D680" s="22" t="s">
        <v>49</v>
      </c>
      <c r="G680" s="23">
        <v>45093</v>
      </c>
      <c r="H680" s="24" t="s">
        <v>2066</v>
      </c>
      <c r="J680" s="28" t="s">
        <v>51</v>
      </c>
      <c r="L680" s="24" t="s">
        <v>1510</v>
      </c>
      <c r="M680" s="1" t="str">
        <f>"341623199611165611"</f>
        <v>341623199611165611</v>
      </c>
      <c r="N680" s="24" t="s">
        <v>1510</v>
      </c>
      <c r="O680" s="1" t="str">
        <f>"341623199611165611"</f>
        <v>341623199611165611</v>
      </c>
      <c r="P680" s="23" t="s">
        <v>2067</v>
      </c>
      <c r="Q680" s="23">
        <v>45094</v>
      </c>
      <c r="R680" s="32">
        <v>45460</v>
      </c>
      <c r="V680" s="33">
        <v>200</v>
      </c>
      <c r="W680" s="28">
        <v>64.29</v>
      </c>
      <c r="X680" s="34" t="s">
        <v>54</v>
      </c>
      <c r="Y680" s="33">
        <v>128.58</v>
      </c>
      <c r="AC680" s="28">
        <v>64.29</v>
      </c>
      <c r="AD680" s="34" t="s">
        <v>54</v>
      </c>
      <c r="AE680" s="33">
        <v>128.58</v>
      </c>
      <c r="AN680" s="7" t="s">
        <v>54</v>
      </c>
      <c r="AO680" s="7" t="s">
        <v>55</v>
      </c>
      <c r="AP680" s="7" t="s">
        <v>56</v>
      </c>
      <c r="AT680" s="47" t="s">
        <v>57</v>
      </c>
      <c r="AU680" s="47" t="s">
        <v>57</v>
      </c>
    </row>
    <row r="681" spans="1:47">
      <c r="A681" s="4" t="s">
        <v>48</v>
      </c>
      <c r="C681" s="21"/>
      <c r="D681" s="22" t="s">
        <v>49</v>
      </c>
      <c r="G681" s="23">
        <v>45093</v>
      </c>
      <c r="H681" s="24" t="s">
        <v>2068</v>
      </c>
      <c r="J681" s="28" t="s">
        <v>51</v>
      </c>
      <c r="L681" s="24" t="s">
        <v>2069</v>
      </c>
      <c r="M681" s="1" t="str">
        <f>"232330199206181274"</f>
        <v>232330199206181274</v>
      </c>
      <c r="N681" s="24" t="s">
        <v>2069</v>
      </c>
      <c r="O681" s="1" t="str">
        <f>"232330199206181274"</f>
        <v>232330199206181274</v>
      </c>
      <c r="P681" s="23" t="s">
        <v>2070</v>
      </c>
      <c r="Q681" s="23">
        <v>45094</v>
      </c>
      <c r="R681" s="32">
        <v>45460</v>
      </c>
      <c r="V681" s="33">
        <v>200</v>
      </c>
      <c r="W681" s="28">
        <v>64.29</v>
      </c>
      <c r="X681" s="34" t="s">
        <v>54</v>
      </c>
      <c r="Y681" s="33">
        <v>128.58</v>
      </c>
      <c r="AC681" s="28">
        <v>64.29</v>
      </c>
      <c r="AD681" s="34" t="s">
        <v>54</v>
      </c>
      <c r="AE681" s="33">
        <v>128.58</v>
      </c>
      <c r="AN681" s="7" t="s">
        <v>54</v>
      </c>
      <c r="AO681" s="7" t="s">
        <v>55</v>
      </c>
      <c r="AP681" s="7" t="s">
        <v>56</v>
      </c>
      <c r="AT681" s="47" t="s">
        <v>57</v>
      </c>
      <c r="AU681" s="47" t="s">
        <v>57</v>
      </c>
    </row>
    <row r="682" spans="1:47">
      <c r="A682" s="4" t="s">
        <v>48</v>
      </c>
      <c r="C682" s="21"/>
      <c r="D682" s="22" t="s">
        <v>49</v>
      </c>
      <c r="G682" s="23">
        <v>45082</v>
      </c>
      <c r="H682" s="24" t="s">
        <v>2071</v>
      </c>
      <c r="J682" s="28" t="s">
        <v>51</v>
      </c>
      <c r="L682" s="24" t="s">
        <v>2072</v>
      </c>
      <c r="M682" s="1" t="str">
        <f>"13102219770814641X"</f>
        <v>13102219770814641X</v>
      </c>
      <c r="N682" s="24" t="s">
        <v>2072</v>
      </c>
      <c r="O682" s="1" t="str">
        <f>"13102219770814641X"</f>
        <v>13102219770814641X</v>
      </c>
      <c r="P682" s="23" t="s">
        <v>2073</v>
      </c>
      <c r="Q682" s="23">
        <v>45083</v>
      </c>
      <c r="R682" s="32">
        <v>45449</v>
      </c>
      <c r="V682" s="33">
        <v>50</v>
      </c>
      <c r="W682" s="28">
        <v>64.29</v>
      </c>
      <c r="X682" s="34" t="s">
        <v>54</v>
      </c>
      <c r="Y682" s="33">
        <v>32.15</v>
      </c>
      <c r="AC682" s="28">
        <v>64.29</v>
      </c>
      <c r="AD682" s="34" t="s">
        <v>54</v>
      </c>
      <c r="AE682" s="33">
        <v>32.15</v>
      </c>
      <c r="AN682" s="7" t="s">
        <v>54</v>
      </c>
      <c r="AO682" s="7" t="s">
        <v>55</v>
      </c>
      <c r="AP682" s="7" t="s">
        <v>56</v>
      </c>
      <c r="AT682" s="47" t="s">
        <v>57</v>
      </c>
      <c r="AU682" s="47" t="s">
        <v>57</v>
      </c>
    </row>
    <row r="683" spans="1:47">
      <c r="A683" s="4" t="s">
        <v>48</v>
      </c>
      <c r="C683" s="21"/>
      <c r="D683" s="22" t="s">
        <v>49</v>
      </c>
      <c r="G683" s="23">
        <v>45080</v>
      </c>
      <c r="H683" s="24" t="s">
        <v>2074</v>
      </c>
      <c r="J683" s="28" t="s">
        <v>51</v>
      </c>
      <c r="L683" s="24" t="s">
        <v>2075</v>
      </c>
      <c r="M683" s="1" t="str">
        <f>"120222197908316426"</f>
        <v>120222197908316426</v>
      </c>
      <c r="N683" s="24" t="s">
        <v>2075</v>
      </c>
      <c r="O683" s="1" t="str">
        <f>"120222197908316426"</f>
        <v>120222197908316426</v>
      </c>
      <c r="P683" s="23" t="s">
        <v>2076</v>
      </c>
      <c r="Q683" s="23">
        <v>45081</v>
      </c>
      <c r="R683" s="32">
        <v>45447</v>
      </c>
      <c r="V683" s="33">
        <v>50</v>
      </c>
      <c r="W683" s="28">
        <v>64.29</v>
      </c>
      <c r="X683" s="34" t="s">
        <v>54</v>
      </c>
      <c r="Y683" s="33">
        <v>32.15</v>
      </c>
      <c r="AC683" s="28">
        <v>64.29</v>
      </c>
      <c r="AD683" s="34" t="s">
        <v>54</v>
      </c>
      <c r="AE683" s="33">
        <v>32.15</v>
      </c>
      <c r="AN683" s="7" t="s">
        <v>54</v>
      </c>
      <c r="AO683" s="7" t="s">
        <v>55</v>
      </c>
      <c r="AP683" s="7" t="s">
        <v>56</v>
      </c>
      <c r="AT683" s="47" t="s">
        <v>57</v>
      </c>
      <c r="AU683" s="47" t="s">
        <v>57</v>
      </c>
    </row>
    <row r="684" spans="1:47">
      <c r="A684" s="4" t="s">
        <v>48</v>
      </c>
      <c r="C684" s="21"/>
      <c r="D684" s="22" t="s">
        <v>49</v>
      </c>
      <c r="G684" s="23">
        <v>45079</v>
      </c>
      <c r="H684" s="24" t="s">
        <v>2077</v>
      </c>
      <c r="J684" s="28" t="s">
        <v>51</v>
      </c>
      <c r="L684" s="24" t="s">
        <v>2078</v>
      </c>
      <c r="M684" s="1" t="str">
        <f>"342128197605064730"</f>
        <v>342128197605064730</v>
      </c>
      <c r="N684" s="24" t="s">
        <v>2078</v>
      </c>
      <c r="O684" s="1" t="str">
        <f>"342128197605064730"</f>
        <v>342128197605064730</v>
      </c>
      <c r="P684" s="23" t="s">
        <v>2079</v>
      </c>
      <c r="Q684" s="23">
        <v>45080</v>
      </c>
      <c r="R684" s="32">
        <v>45446</v>
      </c>
      <c r="V684" s="33">
        <v>50</v>
      </c>
      <c r="W684" s="28">
        <v>64.29</v>
      </c>
      <c r="X684" s="34" t="s">
        <v>54</v>
      </c>
      <c r="Y684" s="33">
        <v>32.15</v>
      </c>
      <c r="AC684" s="28">
        <v>64.29</v>
      </c>
      <c r="AD684" s="34" t="s">
        <v>54</v>
      </c>
      <c r="AE684" s="33">
        <v>32.15</v>
      </c>
      <c r="AN684" s="7" t="s">
        <v>54</v>
      </c>
      <c r="AO684" s="7" t="s">
        <v>55</v>
      </c>
      <c r="AP684" s="7" t="s">
        <v>56</v>
      </c>
      <c r="AT684" s="47" t="s">
        <v>57</v>
      </c>
      <c r="AU684" s="47" t="s">
        <v>57</v>
      </c>
    </row>
    <row r="685" spans="1:47">
      <c r="A685" s="4" t="s">
        <v>48</v>
      </c>
      <c r="C685" s="21"/>
      <c r="D685" s="22" t="s">
        <v>49</v>
      </c>
      <c r="G685" s="23">
        <v>45080</v>
      </c>
      <c r="H685" s="24" t="s">
        <v>2080</v>
      </c>
      <c r="J685" s="28" t="s">
        <v>51</v>
      </c>
      <c r="L685" s="24" t="s">
        <v>2081</v>
      </c>
      <c r="M685" s="1" t="str">
        <f>"132821196303092912"</f>
        <v>132821196303092912</v>
      </c>
      <c r="N685" s="24" t="s">
        <v>2081</v>
      </c>
      <c r="O685" s="1" t="str">
        <f>"132821196303092912"</f>
        <v>132821196303092912</v>
      </c>
      <c r="P685" s="23" t="s">
        <v>2082</v>
      </c>
      <c r="Q685" s="23">
        <v>45081</v>
      </c>
      <c r="R685" s="32">
        <v>45447</v>
      </c>
      <c r="V685" s="33">
        <v>50</v>
      </c>
      <c r="W685" s="28">
        <v>64.29</v>
      </c>
      <c r="X685" s="34" t="s">
        <v>54</v>
      </c>
      <c r="Y685" s="33">
        <v>32.15</v>
      </c>
      <c r="AC685" s="28">
        <v>64.29</v>
      </c>
      <c r="AD685" s="34" t="s">
        <v>54</v>
      </c>
      <c r="AE685" s="33">
        <v>32.15</v>
      </c>
      <c r="AN685" s="7" t="s">
        <v>54</v>
      </c>
      <c r="AO685" s="7" t="s">
        <v>55</v>
      </c>
      <c r="AP685" s="7" t="s">
        <v>56</v>
      </c>
      <c r="AT685" s="47" t="s">
        <v>57</v>
      </c>
      <c r="AU685" s="47" t="s">
        <v>57</v>
      </c>
    </row>
    <row r="686" spans="1:47">
      <c r="A686" s="4" t="s">
        <v>48</v>
      </c>
      <c r="C686" s="21"/>
      <c r="D686" s="22" t="s">
        <v>49</v>
      </c>
      <c r="G686" s="23">
        <v>45093</v>
      </c>
      <c r="H686" s="24" t="s">
        <v>2083</v>
      </c>
      <c r="J686" s="28" t="s">
        <v>51</v>
      </c>
      <c r="L686" s="24" t="s">
        <v>2084</v>
      </c>
      <c r="M686" s="1" t="str">
        <f>"342422198312251746"</f>
        <v>342422198312251746</v>
      </c>
      <c r="N686" s="24" t="s">
        <v>2084</v>
      </c>
      <c r="O686" s="1" t="str">
        <f>"342422198312251746"</f>
        <v>342422198312251746</v>
      </c>
      <c r="P686" s="23" t="s">
        <v>2085</v>
      </c>
      <c r="Q686" s="23">
        <v>45094</v>
      </c>
      <c r="R686" s="32">
        <v>45460</v>
      </c>
      <c r="V686" s="33">
        <v>100</v>
      </c>
      <c r="W686" s="28">
        <v>64.29</v>
      </c>
      <c r="X686" s="34" t="s">
        <v>54</v>
      </c>
      <c r="Y686" s="33">
        <v>64.29</v>
      </c>
      <c r="AC686" s="28">
        <v>64.29</v>
      </c>
      <c r="AD686" s="34" t="s">
        <v>54</v>
      </c>
      <c r="AE686" s="33">
        <v>64.29</v>
      </c>
      <c r="AN686" s="7" t="s">
        <v>54</v>
      </c>
      <c r="AO686" s="7" t="s">
        <v>55</v>
      </c>
      <c r="AP686" s="7" t="s">
        <v>56</v>
      </c>
      <c r="AT686" s="47" t="s">
        <v>57</v>
      </c>
      <c r="AU686" s="47" t="s">
        <v>57</v>
      </c>
    </row>
    <row r="687" spans="1:47">
      <c r="A687" s="4" t="s">
        <v>48</v>
      </c>
      <c r="C687" s="21"/>
      <c r="D687" s="22" t="s">
        <v>49</v>
      </c>
      <c r="G687" s="23">
        <v>45084</v>
      </c>
      <c r="H687" s="24" t="s">
        <v>2086</v>
      </c>
      <c r="J687" s="28" t="s">
        <v>51</v>
      </c>
      <c r="L687" s="24" t="s">
        <v>2087</v>
      </c>
      <c r="M687" s="1" t="str">
        <f>"131082199304165839"</f>
        <v>131082199304165839</v>
      </c>
      <c r="N687" s="24" t="s">
        <v>2087</v>
      </c>
      <c r="O687" s="1" t="str">
        <f>"131082199304165839"</f>
        <v>131082199304165839</v>
      </c>
      <c r="P687" s="23" t="s">
        <v>2088</v>
      </c>
      <c r="Q687" s="23">
        <v>45085</v>
      </c>
      <c r="R687" s="32">
        <v>45451</v>
      </c>
      <c r="V687" s="33">
        <v>100</v>
      </c>
      <c r="W687" s="28">
        <v>64.29</v>
      </c>
      <c r="X687" s="34" t="s">
        <v>54</v>
      </c>
      <c r="Y687" s="33">
        <v>64.29</v>
      </c>
      <c r="AC687" s="28">
        <v>64.29</v>
      </c>
      <c r="AD687" s="34" t="s">
        <v>54</v>
      </c>
      <c r="AE687" s="33">
        <v>64.29</v>
      </c>
      <c r="AN687" s="7" t="s">
        <v>54</v>
      </c>
      <c r="AO687" s="7" t="s">
        <v>55</v>
      </c>
      <c r="AP687" s="7" t="s">
        <v>56</v>
      </c>
      <c r="AT687" s="47" t="s">
        <v>57</v>
      </c>
      <c r="AU687" s="47" t="s">
        <v>57</v>
      </c>
    </row>
    <row r="688" spans="1:47">
      <c r="A688" s="4" t="s">
        <v>48</v>
      </c>
      <c r="C688" s="21"/>
      <c r="D688" s="22" t="s">
        <v>49</v>
      </c>
      <c r="G688" s="23">
        <v>45084</v>
      </c>
      <c r="H688" s="24" t="s">
        <v>2089</v>
      </c>
      <c r="J688" s="28" t="s">
        <v>51</v>
      </c>
      <c r="L688" s="24" t="s">
        <v>2090</v>
      </c>
      <c r="M688" s="1" t="str">
        <f>"110105195408077315"</f>
        <v>110105195408077315</v>
      </c>
      <c r="N688" s="24" t="s">
        <v>2090</v>
      </c>
      <c r="O688" s="1" t="str">
        <f>"110105195408077315"</f>
        <v>110105195408077315</v>
      </c>
      <c r="P688" s="23" t="s">
        <v>2091</v>
      </c>
      <c r="Q688" s="23">
        <v>45085</v>
      </c>
      <c r="R688" s="32">
        <v>45451</v>
      </c>
      <c r="V688" s="33">
        <v>100</v>
      </c>
      <c r="W688" s="28">
        <v>64.29</v>
      </c>
      <c r="X688" s="34" t="s">
        <v>54</v>
      </c>
      <c r="Y688" s="33">
        <v>64.29</v>
      </c>
      <c r="AC688" s="28">
        <v>64.29</v>
      </c>
      <c r="AD688" s="34" t="s">
        <v>54</v>
      </c>
      <c r="AE688" s="33">
        <v>64.29</v>
      </c>
      <c r="AN688" s="7" t="s">
        <v>54</v>
      </c>
      <c r="AO688" s="7" t="s">
        <v>55</v>
      </c>
      <c r="AP688" s="7" t="s">
        <v>56</v>
      </c>
      <c r="AT688" s="47" t="s">
        <v>57</v>
      </c>
      <c r="AU688" s="47" t="s">
        <v>57</v>
      </c>
    </row>
    <row r="689" spans="1:47">
      <c r="A689" s="4" t="s">
        <v>48</v>
      </c>
      <c r="C689" s="21"/>
      <c r="D689" s="22" t="s">
        <v>49</v>
      </c>
      <c r="G689" s="23">
        <v>45084</v>
      </c>
      <c r="H689" s="24" t="s">
        <v>2092</v>
      </c>
      <c r="J689" s="28" t="s">
        <v>51</v>
      </c>
      <c r="L689" s="24" t="s">
        <v>2093</v>
      </c>
      <c r="M689" s="1" t="str">
        <f>"341204196604020815"</f>
        <v>341204196604020815</v>
      </c>
      <c r="N689" s="24" t="s">
        <v>2093</v>
      </c>
      <c r="O689" s="1" t="str">
        <f>"341204196604020815"</f>
        <v>341204196604020815</v>
      </c>
      <c r="P689" s="23" t="s">
        <v>2094</v>
      </c>
      <c r="Q689" s="23">
        <v>45085</v>
      </c>
      <c r="R689" s="32">
        <v>45451</v>
      </c>
      <c r="V689" s="33">
        <v>100</v>
      </c>
      <c r="W689" s="28">
        <v>64.29</v>
      </c>
      <c r="X689" s="34" t="s">
        <v>54</v>
      </c>
      <c r="Y689" s="33">
        <v>64.29</v>
      </c>
      <c r="AC689" s="28">
        <v>64.29</v>
      </c>
      <c r="AD689" s="34" t="s">
        <v>54</v>
      </c>
      <c r="AE689" s="33">
        <v>64.29</v>
      </c>
      <c r="AN689" s="7" t="s">
        <v>54</v>
      </c>
      <c r="AO689" s="7" t="s">
        <v>55</v>
      </c>
      <c r="AP689" s="7" t="s">
        <v>56</v>
      </c>
      <c r="AT689" s="47" t="s">
        <v>57</v>
      </c>
      <c r="AU689" s="47" t="s">
        <v>57</v>
      </c>
    </row>
    <row r="690" spans="1:47">
      <c r="A690" s="4" t="s">
        <v>48</v>
      </c>
      <c r="C690" s="21"/>
      <c r="D690" s="22" t="s">
        <v>49</v>
      </c>
      <c r="G690" s="23">
        <v>45093</v>
      </c>
      <c r="H690" s="24" t="s">
        <v>2095</v>
      </c>
      <c r="J690" s="28" t="s">
        <v>51</v>
      </c>
      <c r="L690" s="24" t="s">
        <v>2096</v>
      </c>
      <c r="M690" s="1" t="str">
        <f>"131082197301182044"</f>
        <v>131082197301182044</v>
      </c>
      <c r="N690" s="24" t="s">
        <v>2096</v>
      </c>
      <c r="O690" s="1" t="str">
        <f>"131082197301182044"</f>
        <v>131082197301182044</v>
      </c>
      <c r="P690" s="23" t="s">
        <v>2097</v>
      </c>
      <c r="Q690" s="23">
        <v>45174</v>
      </c>
      <c r="R690" s="32">
        <v>45540</v>
      </c>
      <c r="V690" s="33">
        <v>200</v>
      </c>
      <c r="W690" s="28">
        <v>64.29</v>
      </c>
      <c r="X690" s="34" t="s">
        <v>54</v>
      </c>
      <c r="Y690" s="33">
        <v>128.58</v>
      </c>
      <c r="AC690" s="28">
        <v>64.29</v>
      </c>
      <c r="AD690" s="34" t="s">
        <v>54</v>
      </c>
      <c r="AE690" s="33">
        <v>128.58</v>
      </c>
      <c r="AN690" s="7" t="s">
        <v>54</v>
      </c>
      <c r="AO690" s="7" t="s">
        <v>55</v>
      </c>
      <c r="AP690" s="7" t="s">
        <v>56</v>
      </c>
      <c r="AT690" s="47" t="s">
        <v>57</v>
      </c>
      <c r="AU690" s="47" t="s">
        <v>57</v>
      </c>
    </row>
    <row r="691" spans="1:47">
      <c r="A691" s="4" t="s">
        <v>48</v>
      </c>
      <c r="C691" s="21"/>
      <c r="D691" s="22" t="s">
        <v>49</v>
      </c>
      <c r="G691" s="23">
        <v>45096</v>
      </c>
      <c r="H691" s="24" t="s">
        <v>2098</v>
      </c>
      <c r="J691" s="28" t="s">
        <v>51</v>
      </c>
      <c r="L691" s="24" t="s">
        <v>2099</v>
      </c>
      <c r="M691" s="1" t="str">
        <f>"341204199303201042"</f>
        <v>341204199303201042</v>
      </c>
      <c r="N691" s="24" t="s">
        <v>2099</v>
      </c>
      <c r="O691" s="1" t="str">
        <f>"341204199303201042"</f>
        <v>341204199303201042</v>
      </c>
      <c r="P691" s="23" t="s">
        <v>2100</v>
      </c>
      <c r="Q691" s="23">
        <v>45097</v>
      </c>
      <c r="R691" s="32">
        <v>45463</v>
      </c>
      <c r="V691" s="33">
        <v>200</v>
      </c>
      <c r="W691" s="28">
        <v>64.29</v>
      </c>
      <c r="X691" s="34" t="s">
        <v>54</v>
      </c>
      <c r="Y691" s="33">
        <v>128.58</v>
      </c>
      <c r="AC691" s="28">
        <v>64.29</v>
      </c>
      <c r="AD691" s="34" t="s">
        <v>54</v>
      </c>
      <c r="AE691" s="33">
        <v>128.58</v>
      </c>
      <c r="AN691" s="7" t="s">
        <v>54</v>
      </c>
      <c r="AO691" s="7" t="s">
        <v>55</v>
      </c>
      <c r="AP691" s="7" t="s">
        <v>56</v>
      </c>
      <c r="AT691" s="47" t="s">
        <v>57</v>
      </c>
      <c r="AU691" s="47" t="s">
        <v>57</v>
      </c>
    </row>
    <row r="692" spans="1:47">
      <c r="A692" s="4" t="s">
        <v>48</v>
      </c>
      <c r="C692" s="21"/>
      <c r="D692" s="22" t="s">
        <v>49</v>
      </c>
      <c r="G692" s="23">
        <v>45093</v>
      </c>
      <c r="H692" s="24" t="s">
        <v>2101</v>
      </c>
      <c r="J692" s="28" t="s">
        <v>51</v>
      </c>
      <c r="L692" s="24" t="s">
        <v>2102</v>
      </c>
      <c r="M692" s="1" t="str">
        <f>"341204199207162063"</f>
        <v>341204199207162063</v>
      </c>
      <c r="N692" s="24" t="s">
        <v>2102</v>
      </c>
      <c r="O692" s="1" t="str">
        <f>"341204199207162063"</f>
        <v>341204199207162063</v>
      </c>
      <c r="P692" s="23" t="s">
        <v>2103</v>
      </c>
      <c r="Q692" s="23">
        <v>45103</v>
      </c>
      <c r="R692" s="32">
        <v>45469</v>
      </c>
      <c r="V692" s="33">
        <v>200</v>
      </c>
      <c r="W692" s="28">
        <v>64.29</v>
      </c>
      <c r="X692" s="34" t="s">
        <v>54</v>
      </c>
      <c r="Y692" s="33">
        <v>128.58</v>
      </c>
      <c r="AC692" s="28">
        <v>64.29</v>
      </c>
      <c r="AD692" s="34" t="s">
        <v>54</v>
      </c>
      <c r="AE692" s="33">
        <v>128.58</v>
      </c>
      <c r="AN692" s="7" t="s">
        <v>54</v>
      </c>
      <c r="AO692" s="7" t="s">
        <v>55</v>
      </c>
      <c r="AP692" s="7" t="s">
        <v>56</v>
      </c>
      <c r="AT692" s="47" t="s">
        <v>57</v>
      </c>
      <c r="AU692" s="47" t="s">
        <v>57</v>
      </c>
    </row>
    <row r="693" spans="1:47">
      <c r="A693" s="4" t="s">
        <v>48</v>
      </c>
      <c r="C693" s="21"/>
      <c r="D693" s="22" t="s">
        <v>49</v>
      </c>
      <c r="G693" s="23">
        <v>45080</v>
      </c>
      <c r="H693" s="24" t="s">
        <v>2104</v>
      </c>
      <c r="J693" s="28" t="s">
        <v>51</v>
      </c>
      <c r="L693" s="24" t="s">
        <v>2105</v>
      </c>
      <c r="M693" s="1" t="str">
        <f>"152529197511033020"</f>
        <v>152529197511033020</v>
      </c>
      <c r="N693" s="24" t="s">
        <v>2105</v>
      </c>
      <c r="O693" s="1" t="str">
        <f>"152529197511033020"</f>
        <v>152529197511033020</v>
      </c>
      <c r="P693" s="23" t="s">
        <v>2106</v>
      </c>
      <c r="Q693" s="23">
        <v>45081</v>
      </c>
      <c r="R693" s="32">
        <v>45447</v>
      </c>
      <c r="V693" s="33">
        <v>50</v>
      </c>
      <c r="W693" s="28">
        <v>64.29</v>
      </c>
      <c r="X693" s="34" t="s">
        <v>54</v>
      </c>
      <c r="Y693" s="33">
        <v>32.15</v>
      </c>
      <c r="AC693" s="28">
        <v>64.29</v>
      </c>
      <c r="AD693" s="34" t="s">
        <v>54</v>
      </c>
      <c r="AE693" s="33">
        <v>32.15</v>
      </c>
      <c r="AN693" s="7" t="s">
        <v>54</v>
      </c>
      <c r="AO693" s="7" t="s">
        <v>55</v>
      </c>
      <c r="AP693" s="7" t="s">
        <v>56</v>
      </c>
      <c r="AT693" s="47" t="s">
        <v>57</v>
      </c>
      <c r="AU693" s="47" t="s">
        <v>57</v>
      </c>
    </row>
    <row r="694" spans="1:47">
      <c r="A694" s="4" t="s">
        <v>48</v>
      </c>
      <c r="C694" s="21"/>
      <c r="D694" s="22" t="s">
        <v>49</v>
      </c>
      <c r="G694" s="23">
        <v>45082</v>
      </c>
      <c r="H694" s="24" t="s">
        <v>2107</v>
      </c>
      <c r="J694" s="28" t="s">
        <v>51</v>
      </c>
      <c r="L694" s="24" t="s">
        <v>2108</v>
      </c>
      <c r="M694" s="1" t="str">
        <f>"131025198702034226"</f>
        <v>131025198702034226</v>
      </c>
      <c r="N694" s="24" t="s">
        <v>2108</v>
      </c>
      <c r="O694" s="1" t="str">
        <f>"131025198702034226"</f>
        <v>131025198702034226</v>
      </c>
      <c r="P694" s="23" t="s">
        <v>2109</v>
      </c>
      <c r="Q694" s="23">
        <v>45083</v>
      </c>
      <c r="R694" s="32">
        <v>45449</v>
      </c>
      <c r="V694" s="33">
        <v>50</v>
      </c>
      <c r="W694" s="28">
        <v>64.29</v>
      </c>
      <c r="X694" s="34" t="s">
        <v>54</v>
      </c>
      <c r="Y694" s="33">
        <v>32.15</v>
      </c>
      <c r="AC694" s="28">
        <v>64.29</v>
      </c>
      <c r="AD694" s="34" t="s">
        <v>54</v>
      </c>
      <c r="AE694" s="33">
        <v>32.15</v>
      </c>
      <c r="AN694" s="7" t="s">
        <v>54</v>
      </c>
      <c r="AO694" s="7" t="s">
        <v>55</v>
      </c>
      <c r="AP694" s="7" t="s">
        <v>56</v>
      </c>
      <c r="AT694" s="47" t="s">
        <v>57</v>
      </c>
      <c r="AU694" s="47" t="s">
        <v>57</v>
      </c>
    </row>
    <row r="695" spans="1:47">
      <c r="A695" s="4" t="s">
        <v>48</v>
      </c>
      <c r="C695" s="21"/>
      <c r="D695" s="22" t="s">
        <v>49</v>
      </c>
      <c r="G695" s="23">
        <v>45079</v>
      </c>
      <c r="H695" s="24" t="s">
        <v>2110</v>
      </c>
      <c r="J695" s="28" t="s">
        <v>51</v>
      </c>
      <c r="L695" s="24" t="s">
        <v>2111</v>
      </c>
      <c r="M695" s="1" t="str">
        <f>"342121195210037347"</f>
        <v>342121195210037347</v>
      </c>
      <c r="N695" s="24" t="s">
        <v>2111</v>
      </c>
      <c r="O695" s="1" t="str">
        <f>"342121195210037347"</f>
        <v>342121195210037347</v>
      </c>
      <c r="P695" s="23" t="s">
        <v>2112</v>
      </c>
      <c r="Q695" s="23">
        <v>45080</v>
      </c>
      <c r="R695" s="32">
        <v>45446</v>
      </c>
      <c r="V695" s="33">
        <v>50</v>
      </c>
      <c r="W695" s="28">
        <v>64.29</v>
      </c>
      <c r="X695" s="34" t="s">
        <v>54</v>
      </c>
      <c r="Y695" s="33">
        <v>32.15</v>
      </c>
      <c r="AC695" s="28">
        <v>64.29</v>
      </c>
      <c r="AD695" s="34" t="s">
        <v>54</v>
      </c>
      <c r="AE695" s="33">
        <v>32.15</v>
      </c>
      <c r="AN695" s="7" t="s">
        <v>54</v>
      </c>
      <c r="AO695" s="7" t="s">
        <v>55</v>
      </c>
      <c r="AP695" s="7" t="s">
        <v>56</v>
      </c>
      <c r="AT695" s="47" t="s">
        <v>57</v>
      </c>
      <c r="AU695" s="47" t="s">
        <v>57</v>
      </c>
    </row>
    <row r="696" spans="1:47">
      <c r="A696" s="4" t="s">
        <v>48</v>
      </c>
      <c r="C696" s="21"/>
      <c r="D696" s="22" t="s">
        <v>49</v>
      </c>
      <c r="G696" s="23">
        <v>45077</v>
      </c>
      <c r="H696" s="24" t="s">
        <v>2113</v>
      </c>
      <c r="J696" s="28" t="s">
        <v>51</v>
      </c>
      <c r="L696" s="24" t="s">
        <v>2114</v>
      </c>
      <c r="M696" s="1" t="str">
        <f>"341226199105255806"</f>
        <v>341226199105255806</v>
      </c>
      <c r="N696" s="24" t="s">
        <v>2114</v>
      </c>
      <c r="O696" s="1" t="str">
        <f>"341226199105255806"</f>
        <v>341226199105255806</v>
      </c>
      <c r="P696" s="23" t="s">
        <v>2115</v>
      </c>
      <c r="Q696" s="23">
        <v>45078</v>
      </c>
      <c r="R696" s="32">
        <v>45444</v>
      </c>
      <c r="V696" s="33">
        <v>50</v>
      </c>
      <c r="W696" s="28">
        <v>64.29</v>
      </c>
      <c r="X696" s="34" t="s">
        <v>54</v>
      </c>
      <c r="Y696" s="33">
        <v>32.15</v>
      </c>
      <c r="AC696" s="28">
        <v>64.29</v>
      </c>
      <c r="AD696" s="34" t="s">
        <v>54</v>
      </c>
      <c r="AE696" s="33">
        <v>32.15</v>
      </c>
      <c r="AN696" s="7" t="s">
        <v>54</v>
      </c>
      <c r="AO696" s="7" t="s">
        <v>55</v>
      </c>
      <c r="AP696" s="7" t="s">
        <v>56</v>
      </c>
      <c r="AT696" s="47" t="s">
        <v>57</v>
      </c>
      <c r="AU696" s="47" t="s">
        <v>57</v>
      </c>
    </row>
    <row r="697" spans="1:47">
      <c r="A697" s="4" t="s">
        <v>48</v>
      </c>
      <c r="C697" s="21"/>
      <c r="D697" s="22" t="s">
        <v>49</v>
      </c>
      <c r="G697" s="23">
        <v>45096</v>
      </c>
      <c r="H697" s="24" t="s">
        <v>2116</v>
      </c>
      <c r="J697" s="28" t="s">
        <v>51</v>
      </c>
      <c r="L697" s="24" t="s">
        <v>2117</v>
      </c>
      <c r="M697" s="1" t="str">
        <f>"131082198303055553"</f>
        <v>131082198303055553</v>
      </c>
      <c r="N697" s="24" t="s">
        <v>2117</v>
      </c>
      <c r="O697" s="1" t="str">
        <f>"131082198303055553"</f>
        <v>131082198303055553</v>
      </c>
      <c r="P697" s="23" t="s">
        <v>2118</v>
      </c>
      <c r="Q697" s="23">
        <v>45219</v>
      </c>
      <c r="R697" s="32">
        <v>45585</v>
      </c>
      <c r="V697" s="33">
        <v>100</v>
      </c>
      <c r="W697" s="28">
        <v>64.29</v>
      </c>
      <c r="X697" s="34" t="s">
        <v>54</v>
      </c>
      <c r="Y697" s="33">
        <v>64.29</v>
      </c>
      <c r="AC697" s="28">
        <v>64.29</v>
      </c>
      <c r="AD697" s="34" t="s">
        <v>54</v>
      </c>
      <c r="AE697" s="33">
        <v>64.29</v>
      </c>
      <c r="AN697" s="7" t="s">
        <v>54</v>
      </c>
      <c r="AO697" s="7" t="s">
        <v>55</v>
      </c>
      <c r="AP697" s="7" t="s">
        <v>56</v>
      </c>
      <c r="AT697" s="47" t="s">
        <v>57</v>
      </c>
      <c r="AU697" s="47" t="s">
        <v>57</v>
      </c>
    </row>
    <row r="698" spans="1:47">
      <c r="A698" s="4" t="s">
        <v>48</v>
      </c>
      <c r="C698" s="21"/>
      <c r="D698" s="22" t="s">
        <v>49</v>
      </c>
      <c r="G698" s="23">
        <v>45096</v>
      </c>
      <c r="H698" s="24" t="s">
        <v>2119</v>
      </c>
      <c r="J698" s="28" t="s">
        <v>51</v>
      </c>
      <c r="L698" s="24" t="s">
        <v>2120</v>
      </c>
      <c r="M698" s="1" t="str">
        <f>"23020419660905142X"</f>
        <v>23020419660905142X</v>
      </c>
      <c r="N698" s="24" t="s">
        <v>2120</v>
      </c>
      <c r="O698" s="1" t="str">
        <f>"23020419660905142X"</f>
        <v>23020419660905142X</v>
      </c>
      <c r="P698" s="23" t="s">
        <v>2121</v>
      </c>
      <c r="Q698" s="23">
        <v>45108</v>
      </c>
      <c r="R698" s="32">
        <v>45474</v>
      </c>
      <c r="V698" s="33">
        <v>100</v>
      </c>
      <c r="W698" s="28">
        <v>64.29</v>
      </c>
      <c r="X698" s="34" t="s">
        <v>54</v>
      </c>
      <c r="Y698" s="33">
        <v>64.29</v>
      </c>
      <c r="AC698" s="28">
        <v>64.29</v>
      </c>
      <c r="AD698" s="34" t="s">
        <v>54</v>
      </c>
      <c r="AE698" s="33">
        <v>64.29</v>
      </c>
      <c r="AN698" s="7" t="s">
        <v>54</v>
      </c>
      <c r="AO698" s="7" t="s">
        <v>55</v>
      </c>
      <c r="AP698" s="7" t="s">
        <v>56</v>
      </c>
      <c r="AT698" s="47" t="s">
        <v>57</v>
      </c>
      <c r="AU698" s="47" t="s">
        <v>57</v>
      </c>
    </row>
    <row r="699" spans="1:47">
      <c r="A699" s="4" t="s">
        <v>48</v>
      </c>
      <c r="C699" s="21"/>
      <c r="D699" s="22" t="s">
        <v>49</v>
      </c>
      <c r="G699" s="23">
        <v>45093</v>
      </c>
      <c r="H699" s="24" t="s">
        <v>2122</v>
      </c>
      <c r="J699" s="28" t="s">
        <v>51</v>
      </c>
      <c r="L699" s="24" t="s">
        <v>2123</v>
      </c>
      <c r="M699" s="1" t="str">
        <f>"130926198508143247"</f>
        <v>130926198508143247</v>
      </c>
      <c r="N699" s="24" t="s">
        <v>2123</v>
      </c>
      <c r="O699" s="1" t="str">
        <f>"130926198508143247"</f>
        <v>130926198508143247</v>
      </c>
      <c r="P699" s="23" t="s">
        <v>2124</v>
      </c>
      <c r="Q699" s="23">
        <v>45094</v>
      </c>
      <c r="R699" s="32">
        <v>45460</v>
      </c>
      <c r="V699" s="33">
        <v>100</v>
      </c>
      <c r="W699" s="28">
        <v>64.29</v>
      </c>
      <c r="X699" s="34" t="s">
        <v>54</v>
      </c>
      <c r="Y699" s="33">
        <v>64.29</v>
      </c>
      <c r="AC699" s="28">
        <v>64.29</v>
      </c>
      <c r="AD699" s="34" t="s">
        <v>54</v>
      </c>
      <c r="AE699" s="33">
        <v>64.29</v>
      </c>
      <c r="AN699" s="7" t="s">
        <v>54</v>
      </c>
      <c r="AO699" s="7" t="s">
        <v>55</v>
      </c>
      <c r="AP699" s="7" t="s">
        <v>56</v>
      </c>
      <c r="AT699" s="47" t="s">
        <v>57</v>
      </c>
      <c r="AU699" s="47" t="s">
        <v>57</v>
      </c>
    </row>
    <row r="700" spans="1:47">
      <c r="A700" s="4" t="s">
        <v>48</v>
      </c>
      <c r="C700" s="21"/>
      <c r="D700" s="22" t="s">
        <v>49</v>
      </c>
      <c r="G700" s="23">
        <v>45093</v>
      </c>
      <c r="H700" s="24" t="s">
        <v>2125</v>
      </c>
      <c r="J700" s="28" t="s">
        <v>51</v>
      </c>
      <c r="L700" s="24" t="s">
        <v>1016</v>
      </c>
      <c r="M700" s="1" t="str">
        <f>"132821196212080262"</f>
        <v>132821196212080262</v>
      </c>
      <c r="N700" s="24" t="s">
        <v>1016</v>
      </c>
      <c r="O700" s="1" t="str">
        <f>"132821196212080262"</f>
        <v>132821196212080262</v>
      </c>
      <c r="P700" s="23" t="s">
        <v>2126</v>
      </c>
      <c r="Q700" s="23">
        <v>45094</v>
      </c>
      <c r="R700" s="32">
        <v>45460</v>
      </c>
      <c r="V700" s="33">
        <v>100</v>
      </c>
      <c r="W700" s="28">
        <v>64.29</v>
      </c>
      <c r="X700" s="34" t="s">
        <v>54</v>
      </c>
      <c r="Y700" s="33">
        <v>64.29</v>
      </c>
      <c r="AC700" s="28">
        <v>64.29</v>
      </c>
      <c r="AD700" s="34" t="s">
        <v>54</v>
      </c>
      <c r="AE700" s="33">
        <v>64.29</v>
      </c>
      <c r="AN700" s="7" t="s">
        <v>54</v>
      </c>
      <c r="AO700" s="7" t="s">
        <v>55</v>
      </c>
      <c r="AP700" s="7" t="s">
        <v>56</v>
      </c>
      <c r="AT700" s="47" t="s">
        <v>57</v>
      </c>
      <c r="AU700" s="47" t="s">
        <v>57</v>
      </c>
    </row>
    <row r="701" spans="1:47">
      <c r="A701" s="4" t="s">
        <v>48</v>
      </c>
      <c r="C701" s="21"/>
      <c r="D701" s="22" t="s">
        <v>49</v>
      </c>
      <c r="G701" s="23">
        <v>45093</v>
      </c>
      <c r="H701" s="24" t="s">
        <v>2127</v>
      </c>
      <c r="J701" s="28" t="s">
        <v>51</v>
      </c>
      <c r="L701" s="24" t="s">
        <v>2128</v>
      </c>
      <c r="M701" s="1" t="str">
        <f>"150203198309200342"</f>
        <v>150203198309200342</v>
      </c>
      <c r="N701" s="24" t="s">
        <v>2128</v>
      </c>
      <c r="O701" s="1" t="str">
        <f>"150203198309200342"</f>
        <v>150203198309200342</v>
      </c>
      <c r="P701" s="23" t="s">
        <v>2129</v>
      </c>
      <c r="Q701" s="23">
        <v>45304</v>
      </c>
      <c r="R701" s="32">
        <v>45670</v>
      </c>
      <c r="V701" s="33">
        <v>100</v>
      </c>
      <c r="W701" s="28">
        <v>64.29</v>
      </c>
      <c r="X701" s="34" t="s">
        <v>54</v>
      </c>
      <c r="Y701" s="33">
        <v>64.29</v>
      </c>
      <c r="AC701" s="28">
        <v>64.29</v>
      </c>
      <c r="AD701" s="34" t="s">
        <v>54</v>
      </c>
      <c r="AE701" s="33">
        <v>64.29</v>
      </c>
      <c r="AN701" s="7" t="s">
        <v>54</v>
      </c>
      <c r="AO701" s="7" t="s">
        <v>55</v>
      </c>
      <c r="AP701" s="7" t="s">
        <v>56</v>
      </c>
      <c r="AT701" s="47" t="s">
        <v>57</v>
      </c>
      <c r="AU701" s="47" t="s">
        <v>57</v>
      </c>
    </row>
    <row r="702" spans="1:47">
      <c r="A702" s="4" t="s">
        <v>48</v>
      </c>
      <c r="C702" s="21"/>
      <c r="D702" s="22" t="s">
        <v>49</v>
      </c>
      <c r="G702" s="23">
        <v>45085</v>
      </c>
      <c r="H702" s="24" t="s">
        <v>2130</v>
      </c>
      <c r="J702" s="28" t="s">
        <v>51</v>
      </c>
      <c r="L702" s="24" t="s">
        <v>2131</v>
      </c>
      <c r="M702" s="1" t="str">
        <f>"210723195307050024"</f>
        <v>210723195307050024</v>
      </c>
      <c r="N702" s="24" t="s">
        <v>2131</v>
      </c>
      <c r="O702" s="1" t="str">
        <f>"210723195307050024"</f>
        <v>210723195307050024</v>
      </c>
      <c r="P702" s="23" t="s">
        <v>2132</v>
      </c>
      <c r="Q702" s="23">
        <v>45086</v>
      </c>
      <c r="R702" s="32">
        <v>45452</v>
      </c>
      <c r="V702" s="33">
        <v>100</v>
      </c>
      <c r="W702" s="28">
        <v>64.29</v>
      </c>
      <c r="X702" s="34" t="s">
        <v>54</v>
      </c>
      <c r="Y702" s="33">
        <v>64.29</v>
      </c>
      <c r="AC702" s="28">
        <v>64.29</v>
      </c>
      <c r="AD702" s="34" t="s">
        <v>54</v>
      </c>
      <c r="AE702" s="33">
        <v>64.29</v>
      </c>
      <c r="AN702" s="7" t="s">
        <v>54</v>
      </c>
      <c r="AO702" s="7" t="s">
        <v>55</v>
      </c>
      <c r="AP702" s="7" t="s">
        <v>56</v>
      </c>
      <c r="AT702" s="47" t="s">
        <v>57</v>
      </c>
      <c r="AU702" s="47" t="s">
        <v>57</v>
      </c>
    </row>
    <row r="703" spans="1:47">
      <c r="A703" s="4" t="s">
        <v>48</v>
      </c>
      <c r="C703" s="21"/>
      <c r="D703" s="22" t="s">
        <v>49</v>
      </c>
      <c r="G703" s="23">
        <v>45083</v>
      </c>
      <c r="H703" s="24" t="s">
        <v>2133</v>
      </c>
      <c r="J703" s="28" t="s">
        <v>51</v>
      </c>
      <c r="L703" s="24" t="s">
        <v>2134</v>
      </c>
      <c r="M703" s="1" t="str">
        <f>"341203197203043168"</f>
        <v>341203197203043168</v>
      </c>
      <c r="N703" s="24" t="s">
        <v>2134</v>
      </c>
      <c r="O703" s="1" t="str">
        <f>"341203197203043168"</f>
        <v>341203197203043168</v>
      </c>
      <c r="P703" s="23" t="s">
        <v>2135</v>
      </c>
      <c r="Q703" s="23">
        <v>45084</v>
      </c>
      <c r="R703" s="32">
        <v>45450</v>
      </c>
      <c r="V703" s="33">
        <v>100</v>
      </c>
      <c r="W703" s="28">
        <v>64.29</v>
      </c>
      <c r="X703" s="34" t="s">
        <v>54</v>
      </c>
      <c r="Y703" s="33">
        <v>64.29</v>
      </c>
      <c r="AC703" s="28">
        <v>64.29</v>
      </c>
      <c r="AD703" s="34" t="s">
        <v>54</v>
      </c>
      <c r="AE703" s="33">
        <v>64.29</v>
      </c>
      <c r="AN703" s="7" t="s">
        <v>54</v>
      </c>
      <c r="AO703" s="7" t="s">
        <v>55</v>
      </c>
      <c r="AP703" s="7" t="s">
        <v>56</v>
      </c>
      <c r="AT703" s="47" t="s">
        <v>57</v>
      </c>
      <c r="AU703" s="47" t="s">
        <v>57</v>
      </c>
    </row>
    <row r="704" spans="1:47">
      <c r="A704" s="4" t="s">
        <v>48</v>
      </c>
      <c r="C704" s="21"/>
      <c r="D704" s="22" t="s">
        <v>49</v>
      </c>
      <c r="G704" s="23">
        <v>45084</v>
      </c>
      <c r="H704" s="24" t="s">
        <v>2136</v>
      </c>
      <c r="J704" s="28" t="s">
        <v>51</v>
      </c>
      <c r="L704" s="24" t="s">
        <v>2137</v>
      </c>
      <c r="M704" s="1" t="str">
        <f>"130926199005280818"</f>
        <v>130926199005280818</v>
      </c>
      <c r="N704" s="24" t="s">
        <v>2137</v>
      </c>
      <c r="O704" s="1" t="str">
        <f>"130926199005280818"</f>
        <v>130926199005280818</v>
      </c>
      <c r="P704" s="23" t="s">
        <v>2138</v>
      </c>
      <c r="Q704" s="23">
        <v>45200</v>
      </c>
      <c r="R704" s="32">
        <v>45566</v>
      </c>
      <c r="V704" s="33">
        <v>100</v>
      </c>
      <c r="W704" s="28">
        <v>64.29</v>
      </c>
      <c r="X704" s="34" t="s">
        <v>54</v>
      </c>
      <c r="Y704" s="33">
        <v>64.29</v>
      </c>
      <c r="AC704" s="28">
        <v>64.29</v>
      </c>
      <c r="AD704" s="34" t="s">
        <v>54</v>
      </c>
      <c r="AE704" s="33">
        <v>64.29</v>
      </c>
      <c r="AN704" s="7" t="s">
        <v>54</v>
      </c>
      <c r="AO704" s="7" t="s">
        <v>55</v>
      </c>
      <c r="AP704" s="7" t="s">
        <v>56</v>
      </c>
      <c r="AT704" s="47" t="s">
        <v>57</v>
      </c>
      <c r="AU704" s="47" t="s">
        <v>57</v>
      </c>
    </row>
    <row r="705" spans="1:47">
      <c r="A705" s="4" t="s">
        <v>48</v>
      </c>
      <c r="C705" s="21"/>
      <c r="D705" s="22" t="s">
        <v>49</v>
      </c>
      <c r="G705" s="23">
        <v>45091</v>
      </c>
      <c r="H705" s="24" t="s">
        <v>2139</v>
      </c>
      <c r="J705" s="28" t="s">
        <v>51</v>
      </c>
      <c r="L705" s="24" t="s">
        <v>2140</v>
      </c>
      <c r="M705" s="1" t="str">
        <f>"342101197203211224"</f>
        <v>342101197203211224</v>
      </c>
      <c r="N705" s="24" t="s">
        <v>2140</v>
      </c>
      <c r="O705" s="1" t="str">
        <f>"342101197203211224"</f>
        <v>342101197203211224</v>
      </c>
      <c r="P705" s="23" t="s">
        <v>2141</v>
      </c>
      <c r="Q705" s="23">
        <v>45092</v>
      </c>
      <c r="R705" s="32">
        <v>45458</v>
      </c>
      <c r="V705" s="33">
        <v>200</v>
      </c>
      <c r="W705" s="28">
        <v>64.29</v>
      </c>
      <c r="X705" s="34" t="s">
        <v>54</v>
      </c>
      <c r="Y705" s="33">
        <v>128.58</v>
      </c>
      <c r="AC705" s="28">
        <v>64.29</v>
      </c>
      <c r="AD705" s="34" t="s">
        <v>54</v>
      </c>
      <c r="AE705" s="33">
        <v>128.58</v>
      </c>
      <c r="AN705" s="7" t="s">
        <v>54</v>
      </c>
      <c r="AO705" s="7" t="s">
        <v>55</v>
      </c>
      <c r="AP705" s="7" t="s">
        <v>56</v>
      </c>
      <c r="AT705" s="47" t="s">
        <v>57</v>
      </c>
      <c r="AU705" s="47" t="s">
        <v>57</v>
      </c>
    </row>
    <row r="706" spans="1:47">
      <c r="A706" s="4" t="s">
        <v>48</v>
      </c>
      <c r="C706" s="21"/>
      <c r="D706" s="22" t="s">
        <v>49</v>
      </c>
      <c r="G706" s="23">
        <v>45092</v>
      </c>
      <c r="H706" s="24" t="s">
        <v>2142</v>
      </c>
      <c r="J706" s="28" t="s">
        <v>51</v>
      </c>
      <c r="L706" s="24" t="s">
        <v>2143</v>
      </c>
      <c r="M706" s="1" t="str">
        <f>"130631198207061648"</f>
        <v>130631198207061648</v>
      </c>
      <c r="N706" s="24" t="s">
        <v>2143</v>
      </c>
      <c r="O706" s="1" t="str">
        <f>"130631198207061648"</f>
        <v>130631198207061648</v>
      </c>
      <c r="P706" s="23" t="s">
        <v>2144</v>
      </c>
      <c r="Q706" s="23">
        <v>45093</v>
      </c>
      <c r="R706" s="32">
        <v>45459</v>
      </c>
      <c r="V706" s="33">
        <v>200</v>
      </c>
      <c r="W706" s="28">
        <v>64.29</v>
      </c>
      <c r="X706" s="34" t="s">
        <v>54</v>
      </c>
      <c r="Y706" s="33">
        <v>128.58</v>
      </c>
      <c r="AC706" s="28">
        <v>64.29</v>
      </c>
      <c r="AD706" s="34" t="s">
        <v>54</v>
      </c>
      <c r="AE706" s="33">
        <v>128.58</v>
      </c>
      <c r="AN706" s="7" t="s">
        <v>54</v>
      </c>
      <c r="AO706" s="7" t="s">
        <v>55</v>
      </c>
      <c r="AP706" s="7" t="s">
        <v>56</v>
      </c>
      <c r="AT706" s="47" t="s">
        <v>57</v>
      </c>
      <c r="AU706" s="47" t="s">
        <v>57</v>
      </c>
    </row>
    <row r="707" spans="1:47">
      <c r="A707" s="4" t="s">
        <v>48</v>
      </c>
      <c r="C707" s="21"/>
      <c r="D707" s="22" t="s">
        <v>49</v>
      </c>
      <c r="G707" s="23">
        <v>45092</v>
      </c>
      <c r="H707" s="24" t="s">
        <v>2145</v>
      </c>
      <c r="J707" s="28" t="s">
        <v>51</v>
      </c>
      <c r="L707" s="24" t="s">
        <v>2146</v>
      </c>
      <c r="M707" s="1" t="str">
        <f>"13282119511030593X"</f>
        <v>13282119511030593X</v>
      </c>
      <c r="N707" s="24" t="s">
        <v>2146</v>
      </c>
      <c r="O707" s="1" t="str">
        <f>"13282119511030593X"</f>
        <v>13282119511030593X</v>
      </c>
      <c r="P707" s="23" t="s">
        <v>2147</v>
      </c>
      <c r="Q707" s="23">
        <v>45217</v>
      </c>
      <c r="R707" s="32">
        <v>45583</v>
      </c>
      <c r="V707" s="33">
        <v>200</v>
      </c>
      <c r="W707" s="28">
        <v>64.29</v>
      </c>
      <c r="X707" s="34" t="s">
        <v>54</v>
      </c>
      <c r="Y707" s="33">
        <v>128.58</v>
      </c>
      <c r="AC707" s="28">
        <v>64.29</v>
      </c>
      <c r="AD707" s="34" t="s">
        <v>54</v>
      </c>
      <c r="AE707" s="33">
        <v>128.58</v>
      </c>
      <c r="AN707" s="7" t="s">
        <v>54</v>
      </c>
      <c r="AO707" s="7" t="s">
        <v>55</v>
      </c>
      <c r="AP707" s="7" t="s">
        <v>56</v>
      </c>
      <c r="AT707" s="47" t="s">
        <v>57</v>
      </c>
      <c r="AU707" s="47" t="s">
        <v>57</v>
      </c>
    </row>
    <row r="708" spans="1:47">
      <c r="A708" s="4" t="s">
        <v>48</v>
      </c>
      <c r="C708" s="21"/>
      <c r="D708" s="22" t="s">
        <v>49</v>
      </c>
      <c r="G708" s="23">
        <v>45092</v>
      </c>
      <c r="H708" s="24" t="s">
        <v>2148</v>
      </c>
      <c r="J708" s="28" t="s">
        <v>51</v>
      </c>
      <c r="L708" s="24" t="s">
        <v>2149</v>
      </c>
      <c r="M708" s="1" t="str">
        <f>"13292319770813161X"</f>
        <v>13292319770813161X</v>
      </c>
      <c r="N708" s="24" t="s">
        <v>2149</v>
      </c>
      <c r="O708" s="1" t="str">
        <f>"13292319770813161X"</f>
        <v>13292319770813161X</v>
      </c>
      <c r="P708" s="23" t="s">
        <v>2150</v>
      </c>
      <c r="Q708" s="23">
        <v>45093</v>
      </c>
      <c r="R708" s="32">
        <v>45459</v>
      </c>
      <c r="V708" s="33">
        <v>200</v>
      </c>
      <c r="W708" s="28">
        <v>64.29</v>
      </c>
      <c r="X708" s="34" t="s">
        <v>54</v>
      </c>
      <c r="Y708" s="33">
        <v>128.58</v>
      </c>
      <c r="AC708" s="28">
        <v>64.29</v>
      </c>
      <c r="AD708" s="34" t="s">
        <v>54</v>
      </c>
      <c r="AE708" s="33">
        <v>128.58</v>
      </c>
      <c r="AN708" s="7" t="s">
        <v>54</v>
      </c>
      <c r="AO708" s="7" t="s">
        <v>55</v>
      </c>
      <c r="AP708" s="7" t="s">
        <v>56</v>
      </c>
      <c r="AT708" s="47" t="s">
        <v>57</v>
      </c>
      <c r="AU708" s="47" t="s">
        <v>57</v>
      </c>
    </row>
    <row r="709" spans="1:47">
      <c r="A709" s="4" t="s">
        <v>48</v>
      </c>
      <c r="C709" s="21"/>
      <c r="D709" s="22" t="s">
        <v>49</v>
      </c>
      <c r="G709" s="23">
        <v>45089</v>
      </c>
      <c r="H709" s="24" t="s">
        <v>2151</v>
      </c>
      <c r="J709" s="28" t="s">
        <v>51</v>
      </c>
      <c r="L709" s="24" t="s">
        <v>2152</v>
      </c>
      <c r="M709" s="1" t="str">
        <f>"132923197109152857"</f>
        <v>132923197109152857</v>
      </c>
      <c r="N709" s="24" t="s">
        <v>2152</v>
      </c>
      <c r="O709" s="1" t="str">
        <f>"132923197109152857"</f>
        <v>132923197109152857</v>
      </c>
      <c r="P709" s="23" t="s">
        <v>2153</v>
      </c>
      <c r="Q709" s="23">
        <v>45090</v>
      </c>
      <c r="R709" s="32">
        <v>45456</v>
      </c>
      <c r="V709" s="33">
        <v>200</v>
      </c>
      <c r="W709" s="28">
        <v>64.29</v>
      </c>
      <c r="X709" s="34" t="s">
        <v>54</v>
      </c>
      <c r="Y709" s="33">
        <v>128.58</v>
      </c>
      <c r="AC709" s="28">
        <v>64.29</v>
      </c>
      <c r="AD709" s="34" t="s">
        <v>54</v>
      </c>
      <c r="AE709" s="33">
        <v>128.58</v>
      </c>
      <c r="AN709" s="7" t="s">
        <v>54</v>
      </c>
      <c r="AO709" s="7" t="s">
        <v>55</v>
      </c>
      <c r="AP709" s="7" t="s">
        <v>56</v>
      </c>
      <c r="AT709" s="47" t="s">
        <v>57</v>
      </c>
      <c r="AU709" s="47" t="s">
        <v>57</v>
      </c>
    </row>
    <row r="710" spans="1:47">
      <c r="A710" s="4" t="s">
        <v>48</v>
      </c>
      <c r="C710" s="21"/>
      <c r="D710" s="22" t="s">
        <v>49</v>
      </c>
      <c r="G710" s="23">
        <v>45078</v>
      </c>
      <c r="H710" s="24" t="s">
        <v>2154</v>
      </c>
      <c r="J710" s="28" t="s">
        <v>51</v>
      </c>
      <c r="L710" s="24" t="s">
        <v>2155</v>
      </c>
      <c r="M710" s="1" t="str">
        <f>"131082198102177124"</f>
        <v>131082198102177124</v>
      </c>
      <c r="N710" s="24" t="s">
        <v>2155</v>
      </c>
      <c r="O710" s="1" t="str">
        <f>"131082198102177124"</f>
        <v>131082198102177124</v>
      </c>
      <c r="P710" s="23" t="s">
        <v>2156</v>
      </c>
      <c r="Q710" s="23">
        <v>45079</v>
      </c>
      <c r="R710" s="32">
        <v>45445</v>
      </c>
      <c r="V710" s="33">
        <v>50</v>
      </c>
      <c r="W710" s="28">
        <v>64.29</v>
      </c>
      <c r="X710" s="34" t="s">
        <v>54</v>
      </c>
      <c r="Y710" s="33">
        <v>32.15</v>
      </c>
      <c r="AC710" s="28">
        <v>64.29</v>
      </c>
      <c r="AD710" s="34" t="s">
        <v>54</v>
      </c>
      <c r="AE710" s="33">
        <v>32.15</v>
      </c>
      <c r="AN710" s="7" t="s">
        <v>54</v>
      </c>
      <c r="AO710" s="7" t="s">
        <v>55</v>
      </c>
      <c r="AP710" s="7" t="s">
        <v>56</v>
      </c>
      <c r="AT710" s="47" t="s">
        <v>57</v>
      </c>
      <c r="AU710" s="47" t="s">
        <v>57</v>
      </c>
    </row>
    <row r="711" spans="1:47">
      <c r="A711" s="4" t="s">
        <v>48</v>
      </c>
      <c r="C711" s="21"/>
      <c r="D711" s="22" t="s">
        <v>49</v>
      </c>
      <c r="G711" s="23">
        <v>45075</v>
      </c>
      <c r="H711" s="24" t="s">
        <v>2157</v>
      </c>
      <c r="J711" s="28" t="s">
        <v>51</v>
      </c>
      <c r="L711" s="24" t="s">
        <v>2158</v>
      </c>
      <c r="M711" s="1" t="str">
        <f>"342101197103204211"</f>
        <v>342101197103204211</v>
      </c>
      <c r="N711" s="24" t="s">
        <v>2158</v>
      </c>
      <c r="O711" s="1" t="str">
        <f>"342101197103204211"</f>
        <v>342101197103204211</v>
      </c>
      <c r="P711" s="23" t="s">
        <v>2159</v>
      </c>
      <c r="Q711" s="23">
        <v>45076</v>
      </c>
      <c r="R711" s="32">
        <v>45442</v>
      </c>
      <c r="V711" s="33">
        <v>50</v>
      </c>
      <c r="W711" s="28">
        <v>64.29</v>
      </c>
      <c r="X711" s="34" t="s">
        <v>54</v>
      </c>
      <c r="Y711" s="33">
        <v>32.15</v>
      </c>
      <c r="AC711" s="28">
        <v>64.29</v>
      </c>
      <c r="AD711" s="34" t="s">
        <v>54</v>
      </c>
      <c r="AE711" s="33">
        <v>32.15</v>
      </c>
      <c r="AN711" s="7" t="s">
        <v>54</v>
      </c>
      <c r="AO711" s="7" t="s">
        <v>55</v>
      </c>
      <c r="AP711" s="7" t="s">
        <v>56</v>
      </c>
      <c r="AT711" s="47" t="s">
        <v>57</v>
      </c>
      <c r="AU711" s="47" t="s">
        <v>57</v>
      </c>
    </row>
    <row r="712" spans="1:47">
      <c r="A712" s="4" t="s">
        <v>48</v>
      </c>
      <c r="C712" s="21"/>
      <c r="D712" s="22" t="s">
        <v>49</v>
      </c>
      <c r="G712" s="23">
        <v>45076</v>
      </c>
      <c r="H712" s="24" t="s">
        <v>2160</v>
      </c>
      <c r="J712" s="28" t="s">
        <v>51</v>
      </c>
      <c r="L712" s="24" t="s">
        <v>2161</v>
      </c>
      <c r="M712" s="1" t="str">
        <f>"13292319730523282X"</f>
        <v>13292319730523282X</v>
      </c>
      <c r="N712" s="24" t="s">
        <v>2161</v>
      </c>
      <c r="O712" s="1" t="str">
        <f>"13292319730523282X"</f>
        <v>13292319730523282X</v>
      </c>
      <c r="P712" s="23" t="s">
        <v>2162</v>
      </c>
      <c r="Q712" s="23">
        <v>45077</v>
      </c>
      <c r="R712" s="32">
        <v>45443</v>
      </c>
      <c r="V712" s="33">
        <v>50</v>
      </c>
      <c r="W712" s="28">
        <v>64.29</v>
      </c>
      <c r="X712" s="34" t="s">
        <v>54</v>
      </c>
      <c r="Y712" s="33">
        <v>32.15</v>
      </c>
      <c r="AC712" s="28">
        <v>64.29</v>
      </c>
      <c r="AD712" s="34" t="s">
        <v>54</v>
      </c>
      <c r="AE712" s="33">
        <v>32.15</v>
      </c>
      <c r="AN712" s="7" t="s">
        <v>54</v>
      </c>
      <c r="AO712" s="7" t="s">
        <v>55</v>
      </c>
      <c r="AP712" s="7" t="s">
        <v>56</v>
      </c>
      <c r="AT712" s="47" t="s">
        <v>57</v>
      </c>
      <c r="AU712" s="47" t="s">
        <v>57</v>
      </c>
    </row>
    <row r="713" spans="1:47">
      <c r="A713" s="4" t="s">
        <v>48</v>
      </c>
      <c r="C713" s="21"/>
      <c r="D713" s="22" t="s">
        <v>49</v>
      </c>
      <c r="G713" s="23">
        <v>45073</v>
      </c>
      <c r="H713" s="24" t="s">
        <v>2163</v>
      </c>
      <c r="J713" s="28" t="s">
        <v>51</v>
      </c>
      <c r="L713" s="24" t="s">
        <v>2164</v>
      </c>
      <c r="M713" s="1" t="str">
        <f>"211421199505291419"</f>
        <v>211421199505291419</v>
      </c>
      <c r="N713" s="24" t="s">
        <v>2164</v>
      </c>
      <c r="O713" s="1" t="str">
        <f>"211421199505291419"</f>
        <v>211421199505291419</v>
      </c>
      <c r="P713" s="23" t="s">
        <v>2165</v>
      </c>
      <c r="Q713" s="23">
        <v>45074</v>
      </c>
      <c r="R713" s="32">
        <v>45440</v>
      </c>
      <c r="V713" s="33">
        <v>50</v>
      </c>
      <c r="W713" s="28">
        <v>64.29</v>
      </c>
      <c r="X713" s="34" t="s">
        <v>54</v>
      </c>
      <c r="Y713" s="33">
        <v>32.15</v>
      </c>
      <c r="AC713" s="28">
        <v>64.29</v>
      </c>
      <c r="AD713" s="34" t="s">
        <v>54</v>
      </c>
      <c r="AE713" s="33">
        <v>32.15</v>
      </c>
      <c r="AN713" s="7" t="s">
        <v>54</v>
      </c>
      <c r="AO713" s="7" t="s">
        <v>55</v>
      </c>
      <c r="AP713" s="7" t="s">
        <v>56</v>
      </c>
      <c r="AT713" s="47" t="s">
        <v>57</v>
      </c>
      <c r="AU713" s="47" t="s">
        <v>57</v>
      </c>
    </row>
    <row r="714" spans="1:47">
      <c r="A714" s="4" t="s">
        <v>48</v>
      </c>
      <c r="C714" s="21"/>
      <c r="D714" s="22" t="s">
        <v>49</v>
      </c>
      <c r="G714" s="23">
        <v>45075</v>
      </c>
      <c r="H714" s="24" t="s">
        <v>2166</v>
      </c>
      <c r="J714" s="28" t="s">
        <v>51</v>
      </c>
      <c r="L714" s="24" t="s">
        <v>2167</v>
      </c>
      <c r="M714" s="1" t="str">
        <f>"131082197401135835"</f>
        <v>131082197401135835</v>
      </c>
      <c r="N714" s="24" t="s">
        <v>2167</v>
      </c>
      <c r="O714" s="1" t="str">
        <f>"131082197401135835"</f>
        <v>131082197401135835</v>
      </c>
      <c r="P714" s="23" t="s">
        <v>2168</v>
      </c>
      <c r="Q714" s="23">
        <v>45076</v>
      </c>
      <c r="R714" s="32">
        <v>45442</v>
      </c>
      <c r="V714" s="33">
        <v>50</v>
      </c>
      <c r="W714" s="28">
        <v>64.29</v>
      </c>
      <c r="X714" s="34" t="s">
        <v>54</v>
      </c>
      <c r="Y714" s="33">
        <v>32.15</v>
      </c>
      <c r="AC714" s="28">
        <v>64.29</v>
      </c>
      <c r="AD714" s="34" t="s">
        <v>54</v>
      </c>
      <c r="AE714" s="33">
        <v>32.15</v>
      </c>
      <c r="AN714" s="7" t="s">
        <v>54</v>
      </c>
      <c r="AO714" s="7" t="s">
        <v>55</v>
      </c>
      <c r="AP714" s="7" t="s">
        <v>56</v>
      </c>
      <c r="AT714" s="47" t="s">
        <v>57</v>
      </c>
      <c r="AU714" s="47" t="s">
        <v>57</v>
      </c>
    </row>
    <row r="715" spans="1:47">
      <c r="A715" s="4" t="s">
        <v>48</v>
      </c>
      <c r="C715" s="21"/>
      <c r="D715" s="22" t="s">
        <v>49</v>
      </c>
      <c r="G715" s="23">
        <v>45091</v>
      </c>
      <c r="H715" s="24" t="s">
        <v>2169</v>
      </c>
      <c r="J715" s="28" t="s">
        <v>51</v>
      </c>
      <c r="L715" s="24" t="s">
        <v>2170</v>
      </c>
      <c r="M715" s="1" t="str">
        <f>"131082198311215887"</f>
        <v>131082198311215887</v>
      </c>
      <c r="N715" s="24" t="s">
        <v>2170</v>
      </c>
      <c r="O715" s="1" t="str">
        <f>"131082198311215887"</f>
        <v>131082198311215887</v>
      </c>
      <c r="P715" s="23" t="s">
        <v>2171</v>
      </c>
      <c r="Q715" s="23">
        <v>45092</v>
      </c>
      <c r="R715" s="32">
        <v>45458</v>
      </c>
      <c r="V715" s="33">
        <v>100</v>
      </c>
      <c r="W715" s="28">
        <v>64.29</v>
      </c>
      <c r="X715" s="34" t="s">
        <v>54</v>
      </c>
      <c r="Y715" s="33">
        <v>64.29</v>
      </c>
      <c r="AC715" s="28">
        <v>64.29</v>
      </c>
      <c r="AD715" s="34" t="s">
        <v>54</v>
      </c>
      <c r="AE715" s="33">
        <v>64.29</v>
      </c>
      <c r="AN715" s="7" t="s">
        <v>54</v>
      </c>
      <c r="AO715" s="7" t="s">
        <v>55</v>
      </c>
      <c r="AP715" s="7" t="s">
        <v>56</v>
      </c>
      <c r="AT715" s="47" t="s">
        <v>57</v>
      </c>
      <c r="AU715" s="47" t="s">
        <v>57</v>
      </c>
    </row>
    <row r="716" spans="1:47">
      <c r="A716" s="4" t="s">
        <v>48</v>
      </c>
      <c r="C716" s="21"/>
      <c r="D716" s="22" t="s">
        <v>49</v>
      </c>
      <c r="G716" s="23">
        <v>45091</v>
      </c>
      <c r="H716" s="24" t="s">
        <v>2172</v>
      </c>
      <c r="J716" s="28" t="s">
        <v>51</v>
      </c>
      <c r="L716" s="24" t="s">
        <v>2173</v>
      </c>
      <c r="M716" s="1" t="str">
        <f>"11010419541102252X"</f>
        <v>11010419541102252X</v>
      </c>
      <c r="N716" s="24" t="s">
        <v>2173</v>
      </c>
      <c r="O716" s="1" t="str">
        <f>"11010419541102252X"</f>
        <v>11010419541102252X</v>
      </c>
      <c r="P716" s="23" t="s">
        <v>2174</v>
      </c>
      <c r="Q716" s="23">
        <v>45153</v>
      </c>
      <c r="R716" s="32">
        <v>45519</v>
      </c>
      <c r="V716" s="33">
        <v>100</v>
      </c>
      <c r="W716" s="28">
        <v>64.29</v>
      </c>
      <c r="X716" s="34" t="s">
        <v>54</v>
      </c>
      <c r="Y716" s="33">
        <v>64.29</v>
      </c>
      <c r="AC716" s="28">
        <v>64.29</v>
      </c>
      <c r="AD716" s="34" t="s">
        <v>54</v>
      </c>
      <c r="AE716" s="33">
        <v>64.29</v>
      </c>
      <c r="AN716" s="7" t="s">
        <v>54</v>
      </c>
      <c r="AO716" s="7" t="s">
        <v>55</v>
      </c>
      <c r="AP716" s="7" t="s">
        <v>56</v>
      </c>
      <c r="AT716" s="47" t="s">
        <v>57</v>
      </c>
      <c r="AU716" s="47" t="s">
        <v>57</v>
      </c>
    </row>
    <row r="717" spans="1:47">
      <c r="A717" s="4" t="s">
        <v>48</v>
      </c>
      <c r="C717" s="21"/>
      <c r="D717" s="22" t="s">
        <v>49</v>
      </c>
      <c r="G717" s="23">
        <v>45091</v>
      </c>
      <c r="H717" s="24" t="s">
        <v>2175</v>
      </c>
      <c r="J717" s="28" t="s">
        <v>51</v>
      </c>
      <c r="L717" s="24" t="s">
        <v>2176</v>
      </c>
      <c r="M717" s="1" t="str">
        <f>"131082197805050766"</f>
        <v>131082197805050766</v>
      </c>
      <c r="N717" s="24" t="s">
        <v>2176</v>
      </c>
      <c r="O717" s="1" t="str">
        <f>"131082197805050766"</f>
        <v>131082197805050766</v>
      </c>
      <c r="P717" s="23" t="s">
        <v>2177</v>
      </c>
      <c r="Q717" s="23">
        <v>45092</v>
      </c>
      <c r="R717" s="32">
        <v>45458</v>
      </c>
      <c r="V717" s="33">
        <v>100</v>
      </c>
      <c r="W717" s="28">
        <v>64.29</v>
      </c>
      <c r="X717" s="34" t="s">
        <v>54</v>
      </c>
      <c r="Y717" s="33">
        <v>64.29</v>
      </c>
      <c r="AC717" s="28">
        <v>64.29</v>
      </c>
      <c r="AD717" s="34" t="s">
        <v>54</v>
      </c>
      <c r="AE717" s="33">
        <v>64.29</v>
      </c>
      <c r="AN717" s="7" t="s">
        <v>54</v>
      </c>
      <c r="AO717" s="7" t="s">
        <v>55</v>
      </c>
      <c r="AP717" s="7" t="s">
        <v>56</v>
      </c>
      <c r="AT717" s="47" t="s">
        <v>57</v>
      </c>
      <c r="AU717" s="47" t="s">
        <v>57</v>
      </c>
    </row>
    <row r="718" spans="1:47">
      <c r="A718" s="4" t="s">
        <v>48</v>
      </c>
      <c r="C718" s="21"/>
      <c r="D718" s="22" t="s">
        <v>49</v>
      </c>
      <c r="G718" s="23">
        <v>45091</v>
      </c>
      <c r="H718" s="24" t="s">
        <v>2178</v>
      </c>
      <c r="J718" s="28" t="s">
        <v>51</v>
      </c>
      <c r="L718" s="24" t="s">
        <v>2179</v>
      </c>
      <c r="M718" s="1" t="str">
        <f>"130721199707275615"</f>
        <v>130721199707275615</v>
      </c>
      <c r="N718" s="24" t="s">
        <v>2179</v>
      </c>
      <c r="O718" s="1" t="str">
        <f>"130721199707275615"</f>
        <v>130721199707275615</v>
      </c>
      <c r="P718" s="23" t="s">
        <v>2180</v>
      </c>
      <c r="Q718" s="23">
        <v>45092</v>
      </c>
      <c r="R718" s="32">
        <v>45458</v>
      </c>
      <c r="V718" s="33">
        <v>100</v>
      </c>
      <c r="W718" s="28">
        <v>64.29</v>
      </c>
      <c r="X718" s="34" t="s">
        <v>54</v>
      </c>
      <c r="Y718" s="33">
        <v>64.29</v>
      </c>
      <c r="AC718" s="28">
        <v>64.29</v>
      </c>
      <c r="AD718" s="34" t="s">
        <v>54</v>
      </c>
      <c r="AE718" s="33">
        <v>64.29</v>
      </c>
      <c r="AN718" s="7" t="s">
        <v>54</v>
      </c>
      <c r="AO718" s="7" t="s">
        <v>55</v>
      </c>
      <c r="AP718" s="7" t="s">
        <v>56</v>
      </c>
      <c r="AT718" s="47" t="s">
        <v>57</v>
      </c>
      <c r="AU718" s="47" t="s">
        <v>57</v>
      </c>
    </row>
    <row r="719" spans="1:47">
      <c r="A719" s="4" t="s">
        <v>48</v>
      </c>
      <c r="C719" s="21"/>
      <c r="D719" s="22" t="s">
        <v>49</v>
      </c>
      <c r="G719" s="23">
        <v>45092</v>
      </c>
      <c r="H719" s="24" t="s">
        <v>2181</v>
      </c>
      <c r="J719" s="28" t="s">
        <v>51</v>
      </c>
      <c r="L719" s="24" t="s">
        <v>2182</v>
      </c>
      <c r="M719" s="1" t="str">
        <f>"131082197903235529"</f>
        <v>131082197903235529</v>
      </c>
      <c r="N719" s="24" t="s">
        <v>2182</v>
      </c>
      <c r="O719" s="1" t="str">
        <f>"131082197903235529"</f>
        <v>131082197903235529</v>
      </c>
      <c r="P719" s="23" t="s">
        <v>2183</v>
      </c>
      <c r="Q719" s="23">
        <v>45093</v>
      </c>
      <c r="R719" s="32">
        <v>45459</v>
      </c>
      <c r="V719" s="33">
        <v>100</v>
      </c>
      <c r="W719" s="28">
        <v>64.29</v>
      </c>
      <c r="X719" s="34" t="s">
        <v>54</v>
      </c>
      <c r="Y719" s="33">
        <v>64.29</v>
      </c>
      <c r="AC719" s="28">
        <v>64.29</v>
      </c>
      <c r="AD719" s="34" t="s">
        <v>54</v>
      </c>
      <c r="AE719" s="33">
        <v>64.29</v>
      </c>
      <c r="AN719" s="7" t="s">
        <v>54</v>
      </c>
      <c r="AO719" s="7" t="s">
        <v>55</v>
      </c>
      <c r="AP719" s="7" t="s">
        <v>56</v>
      </c>
      <c r="AT719" s="47" t="s">
        <v>57</v>
      </c>
      <c r="AU719" s="47" t="s">
        <v>57</v>
      </c>
    </row>
    <row r="720" spans="1:47">
      <c r="A720" s="4" t="s">
        <v>48</v>
      </c>
      <c r="C720" s="21"/>
      <c r="D720" s="22" t="s">
        <v>49</v>
      </c>
      <c r="G720" s="23">
        <v>45091</v>
      </c>
      <c r="H720" s="24" t="s">
        <v>2184</v>
      </c>
      <c r="J720" s="28" t="s">
        <v>51</v>
      </c>
      <c r="L720" s="24" t="s">
        <v>2185</v>
      </c>
      <c r="M720" s="1" t="str">
        <f>"120225199008273924"</f>
        <v>120225199008273924</v>
      </c>
      <c r="N720" s="24" t="s">
        <v>2185</v>
      </c>
      <c r="O720" s="1" t="str">
        <f>"120225199008273924"</f>
        <v>120225199008273924</v>
      </c>
      <c r="P720" s="23" t="s">
        <v>2186</v>
      </c>
      <c r="Q720" s="23">
        <v>45092</v>
      </c>
      <c r="R720" s="32">
        <v>45458</v>
      </c>
      <c r="V720" s="33">
        <v>100</v>
      </c>
      <c r="W720" s="28">
        <v>64.29</v>
      </c>
      <c r="X720" s="34" t="s">
        <v>54</v>
      </c>
      <c r="Y720" s="33">
        <v>64.29</v>
      </c>
      <c r="AC720" s="28">
        <v>64.29</v>
      </c>
      <c r="AD720" s="34" t="s">
        <v>54</v>
      </c>
      <c r="AE720" s="33">
        <v>64.29</v>
      </c>
      <c r="AN720" s="7" t="s">
        <v>54</v>
      </c>
      <c r="AO720" s="7" t="s">
        <v>55</v>
      </c>
      <c r="AP720" s="7" t="s">
        <v>56</v>
      </c>
      <c r="AT720" s="47" t="s">
        <v>57</v>
      </c>
      <c r="AU720" s="47" t="s">
        <v>57</v>
      </c>
    </row>
    <row r="721" spans="1:47">
      <c r="A721" s="4" t="s">
        <v>48</v>
      </c>
      <c r="C721" s="21"/>
      <c r="D721" s="22" t="s">
        <v>49</v>
      </c>
      <c r="G721" s="23">
        <v>45079</v>
      </c>
      <c r="H721" s="24" t="s">
        <v>2187</v>
      </c>
      <c r="J721" s="28" t="s">
        <v>51</v>
      </c>
      <c r="L721" s="24" t="s">
        <v>2188</v>
      </c>
      <c r="M721" s="1" t="str">
        <f>"12022519960915391X"</f>
        <v>12022519960915391X</v>
      </c>
      <c r="N721" s="24" t="s">
        <v>2188</v>
      </c>
      <c r="O721" s="1" t="str">
        <f>"12022519960915391X"</f>
        <v>12022519960915391X</v>
      </c>
      <c r="P721" s="23" t="s">
        <v>2189</v>
      </c>
      <c r="Q721" s="23">
        <v>45202</v>
      </c>
      <c r="R721" s="32">
        <v>45568</v>
      </c>
      <c r="V721" s="33">
        <v>100</v>
      </c>
      <c r="W721" s="28">
        <v>64.29</v>
      </c>
      <c r="X721" s="34" t="s">
        <v>54</v>
      </c>
      <c r="Y721" s="33">
        <v>64.29</v>
      </c>
      <c r="AC721" s="28">
        <v>64.29</v>
      </c>
      <c r="AD721" s="34" t="s">
        <v>54</v>
      </c>
      <c r="AE721" s="33">
        <v>64.29</v>
      </c>
      <c r="AN721" s="7" t="s">
        <v>54</v>
      </c>
      <c r="AO721" s="7" t="s">
        <v>55</v>
      </c>
      <c r="AP721" s="7" t="s">
        <v>56</v>
      </c>
      <c r="AT721" s="47" t="s">
        <v>57</v>
      </c>
      <c r="AU721" s="47" t="s">
        <v>57</v>
      </c>
    </row>
    <row r="722" spans="1:47">
      <c r="A722" s="4" t="s">
        <v>48</v>
      </c>
      <c r="C722" s="21"/>
      <c r="D722" s="22" t="s">
        <v>49</v>
      </c>
      <c r="G722" s="23">
        <v>45081</v>
      </c>
      <c r="H722" s="24" t="s">
        <v>2190</v>
      </c>
      <c r="J722" s="28" t="s">
        <v>51</v>
      </c>
      <c r="L722" s="24" t="s">
        <v>2191</v>
      </c>
      <c r="M722" s="1" t="str">
        <f>"362329198203170042"</f>
        <v>362329198203170042</v>
      </c>
      <c r="N722" s="24" t="s">
        <v>2191</v>
      </c>
      <c r="O722" s="1" t="str">
        <f>"362329198203170042"</f>
        <v>362329198203170042</v>
      </c>
      <c r="P722" s="23" t="s">
        <v>2192</v>
      </c>
      <c r="Q722" s="23">
        <v>45200</v>
      </c>
      <c r="R722" s="32">
        <v>45566</v>
      </c>
      <c r="V722" s="33">
        <v>100</v>
      </c>
      <c r="W722" s="28">
        <v>64.29</v>
      </c>
      <c r="X722" s="34" t="s">
        <v>54</v>
      </c>
      <c r="Y722" s="33">
        <v>64.29</v>
      </c>
      <c r="AC722" s="28">
        <v>64.29</v>
      </c>
      <c r="AD722" s="34" t="s">
        <v>54</v>
      </c>
      <c r="AE722" s="33">
        <v>64.29</v>
      </c>
      <c r="AN722" s="7" t="s">
        <v>54</v>
      </c>
      <c r="AO722" s="7" t="s">
        <v>55</v>
      </c>
      <c r="AP722" s="7" t="s">
        <v>56</v>
      </c>
      <c r="AT722" s="47" t="s">
        <v>57</v>
      </c>
      <c r="AU722" s="47" t="s">
        <v>57</v>
      </c>
    </row>
    <row r="723" spans="1:47">
      <c r="A723" s="4" t="s">
        <v>48</v>
      </c>
      <c r="C723" s="21"/>
      <c r="D723" s="22" t="s">
        <v>49</v>
      </c>
      <c r="G723" s="23">
        <v>45087</v>
      </c>
      <c r="H723" s="24" t="s">
        <v>2193</v>
      </c>
      <c r="J723" s="28" t="s">
        <v>51</v>
      </c>
      <c r="L723" s="24" t="s">
        <v>2194</v>
      </c>
      <c r="M723" s="1" t="str">
        <f>"132821195804040294"</f>
        <v>132821195804040294</v>
      </c>
      <c r="N723" s="24" t="s">
        <v>2194</v>
      </c>
      <c r="O723" s="1" t="str">
        <f>"132821195804040294"</f>
        <v>132821195804040294</v>
      </c>
      <c r="P723" s="23" t="s">
        <v>2195</v>
      </c>
      <c r="Q723" s="23">
        <v>45088</v>
      </c>
      <c r="R723" s="32">
        <v>45454</v>
      </c>
      <c r="V723" s="33">
        <v>200</v>
      </c>
      <c r="W723" s="28">
        <v>64.29</v>
      </c>
      <c r="X723" s="34" t="s">
        <v>54</v>
      </c>
      <c r="Y723" s="33">
        <v>128.58</v>
      </c>
      <c r="AC723" s="28">
        <v>64.29</v>
      </c>
      <c r="AD723" s="34" t="s">
        <v>54</v>
      </c>
      <c r="AE723" s="33">
        <v>128.58</v>
      </c>
      <c r="AN723" s="7" t="s">
        <v>54</v>
      </c>
      <c r="AO723" s="7" t="s">
        <v>55</v>
      </c>
      <c r="AP723" s="7" t="s">
        <v>56</v>
      </c>
      <c r="AT723" s="47" t="s">
        <v>57</v>
      </c>
      <c r="AU723" s="47" t="s">
        <v>57</v>
      </c>
    </row>
    <row r="724" spans="1:47">
      <c r="A724" s="4" t="s">
        <v>48</v>
      </c>
      <c r="C724" s="21"/>
      <c r="D724" s="22" t="s">
        <v>49</v>
      </c>
      <c r="G724" s="23">
        <v>45087</v>
      </c>
      <c r="H724" s="24" t="s">
        <v>2196</v>
      </c>
      <c r="J724" s="28" t="s">
        <v>51</v>
      </c>
      <c r="L724" s="24" t="s">
        <v>1490</v>
      </c>
      <c r="M724" s="1" t="str">
        <f>"132821195611180274"</f>
        <v>132821195611180274</v>
      </c>
      <c r="N724" s="24" t="s">
        <v>1490</v>
      </c>
      <c r="O724" s="1" t="str">
        <f>"132821195611180274"</f>
        <v>132821195611180274</v>
      </c>
      <c r="P724" s="23" t="s">
        <v>2197</v>
      </c>
      <c r="Q724" s="23">
        <v>45088</v>
      </c>
      <c r="R724" s="32">
        <v>45454</v>
      </c>
      <c r="V724" s="33">
        <v>200</v>
      </c>
      <c r="W724" s="28">
        <v>64.29</v>
      </c>
      <c r="X724" s="34" t="s">
        <v>54</v>
      </c>
      <c r="Y724" s="33">
        <v>128.58</v>
      </c>
      <c r="AC724" s="28">
        <v>64.29</v>
      </c>
      <c r="AD724" s="34" t="s">
        <v>54</v>
      </c>
      <c r="AE724" s="33">
        <v>128.58</v>
      </c>
      <c r="AN724" s="7" t="s">
        <v>54</v>
      </c>
      <c r="AO724" s="7" t="s">
        <v>55</v>
      </c>
      <c r="AP724" s="7" t="s">
        <v>56</v>
      </c>
      <c r="AT724" s="47" t="s">
        <v>57</v>
      </c>
      <c r="AU724" s="47" t="s">
        <v>57</v>
      </c>
    </row>
    <row r="725" spans="1:47">
      <c r="A725" s="4" t="s">
        <v>48</v>
      </c>
      <c r="C725" s="21"/>
      <c r="D725" s="22" t="s">
        <v>49</v>
      </c>
      <c r="G725" s="23">
        <v>45085</v>
      </c>
      <c r="H725" s="24" t="s">
        <v>2198</v>
      </c>
      <c r="J725" s="28" t="s">
        <v>51</v>
      </c>
      <c r="L725" s="24" t="s">
        <v>2199</v>
      </c>
      <c r="M725" s="1" t="str">
        <f>"132821195012010273"</f>
        <v>132821195012010273</v>
      </c>
      <c r="N725" s="24" t="s">
        <v>2199</v>
      </c>
      <c r="O725" s="1" t="str">
        <f>"132821195012010273"</f>
        <v>132821195012010273</v>
      </c>
      <c r="P725" s="23" t="s">
        <v>2200</v>
      </c>
      <c r="Q725" s="23">
        <v>45086</v>
      </c>
      <c r="R725" s="32">
        <v>45452</v>
      </c>
      <c r="V725" s="33">
        <v>200</v>
      </c>
      <c r="W725" s="28">
        <v>64.29</v>
      </c>
      <c r="X725" s="34" t="s">
        <v>54</v>
      </c>
      <c r="Y725" s="33">
        <v>128.58</v>
      </c>
      <c r="AC725" s="28">
        <v>64.29</v>
      </c>
      <c r="AD725" s="34" t="s">
        <v>54</v>
      </c>
      <c r="AE725" s="33">
        <v>128.58</v>
      </c>
      <c r="AN725" s="7" t="s">
        <v>54</v>
      </c>
      <c r="AO725" s="7" t="s">
        <v>55</v>
      </c>
      <c r="AP725" s="7" t="s">
        <v>56</v>
      </c>
      <c r="AT725" s="47" t="s">
        <v>57</v>
      </c>
      <c r="AU725" s="47" t="s">
        <v>57</v>
      </c>
    </row>
    <row r="726" spans="1:47">
      <c r="A726" s="4" t="s">
        <v>48</v>
      </c>
      <c r="C726" s="21"/>
      <c r="D726" s="22" t="s">
        <v>49</v>
      </c>
      <c r="G726" s="23">
        <v>45072</v>
      </c>
      <c r="H726" s="24" t="s">
        <v>2201</v>
      </c>
      <c r="J726" s="28" t="s">
        <v>51</v>
      </c>
      <c r="L726" s="24" t="s">
        <v>2202</v>
      </c>
      <c r="M726" s="1" t="str">
        <f>"110226198706273323"</f>
        <v>110226198706273323</v>
      </c>
      <c r="N726" s="24" t="s">
        <v>2202</v>
      </c>
      <c r="O726" s="1" t="str">
        <f>"110226198706273323"</f>
        <v>110226198706273323</v>
      </c>
      <c r="P726" s="23" t="s">
        <v>2203</v>
      </c>
      <c r="Q726" s="23">
        <v>45073</v>
      </c>
      <c r="R726" s="32">
        <v>45439</v>
      </c>
      <c r="V726" s="33">
        <v>50</v>
      </c>
      <c r="W726" s="28">
        <v>64.29</v>
      </c>
      <c r="X726" s="34" t="s">
        <v>54</v>
      </c>
      <c r="Y726" s="33">
        <v>32.15</v>
      </c>
      <c r="AC726" s="28">
        <v>64.29</v>
      </c>
      <c r="AD726" s="34" t="s">
        <v>54</v>
      </c>
      <c r="AE726" s="33">
        <v>32.15</v>
      </c>
      <c r="AN726" s="7" t="s">
        <v>54</v>
      </c>
      <c r="AO726" s="7" t="s">
        <v>55</v>
      </c>
      <c r="AP726" s="7" t="s">
        <v>56</v>
      </c>
      <c r="AT726" s="47" t="s">
        <v>57</v>
      </c>
      <c r="AU726" s="47" t="s">
        <v>57</v>
      </c>
    </row>
    <row r="727" spans="1:47">
      <c r="A727" s="4" t="s">
        <v>48</v>
      </c>
      <c r="C727" s="21"/>
      <c r="D727" s="22" t="s">
        <v>49</v>
      </c>
      <c r="G727" s="23">
        <v>45102</v>
      </c>
      <c r="H727" s="24" t="s">
        <v>2204</v>
      </c>
      <c r="J727" s="28" t="s">
        <v>51</v>
      </c>
      <c r="L727" s="24" t="s">
        <v>2205</v>
      </c>
      <c r="M727" s="1" t="str">
        <f>"131028198803094921"</f>
        <v>131028198803094921</v>
      </c>
      <c r="N727" s="24" t="s">
        <v>2205</v>
      </c>
      <c r="O727" s="1" t="str">
        <f>"131028198803094921"</f>
        <v>131028198803094921</v>
      </c>
      <c r="P727" s="23" t="s">
        <v>2206</v>
      </c>
      <c r="Q727" s="23">
        <v>45103</v>
      </c>
      <c r="R727" s="32">
        <v>45469</v>
      </c>
      <c r="V727" s="33">
        <v>100</v>
      </c>
      <c r="W727" s="28">
        <v>64.29</v>
      </c>
      <c r="X727" s="34" t="s">
        <v>54</v>
      </c>
      <c r="Y727" s="33">
        <v>64.29</v>
      </c>
      <c r="AC727" s="28">
        <v>64.29</v>
      </c>
      <c r="AD727" s="34" t="s">
        <v>54</v>
      </c>
      <c r="AE727" s="33">
        <v>64.29</v>
      </c>
      <c r="AN727" s="7" t="s">
        <v>54</v>
      </c>
      <c r="AO727" s="7" t="s">
        <v>55</v>
      </c>
      <c r="AP727" s="7" t="s">
        <v>56</v>
      </c>
      <c r="AT727" s="47" t="s">
        <v>57</v>
      </c>
      <c r="AU727" s="47" t="s">
        <v>57</v>
      </c>
    </row>
    <row r="728" spans="1:47">
      <c r="A728" s="4" t="s">
        <v>48</v>
      </c>
      <c r="C728" s="21"/>
      <c r="D728" s="22" t="s">
        <v>49</v>
      </c>
      <c r="G728" s="23">
        <v>45102</v>
      </c>
      <c r="H728" s="24" t="s">
        <v>2207</v>
      </c>
      <c r="J728" s="28" t="s">
        <v>51</v>
      </c>
      <c r="L728" s="24" t="s">
        <v>2208</v>
      </c>
      <c r="M728" s="1" t="str">
        <f>"131082197609200296"</f>
        <v>131082197609200296</v>
      </c>
      <c r="N728" s="24" t="s">
        <v>2208</v>
      </c>
      <c r="O728" s="1" t="str">
        <f>"131082197609200296"</f>
        <v>131082197609200296</v>
      </c>
      <c r="P728" s="23" t="s">
        <v>2209</v>
      </c>
      <c r="Q728" s="23">
        <v>45103</v>
      </c>
      <c r="R728" s="32">
        <v>45469</v>
      </c>
      <c r="V728" s="33">
        <v>100</v>
      </c>
      <c r="W728" s="28">
        <v>64.29</v>
      </c>
      <c r="X728" s="34" t="s">
        <v>54</v>
      </c>
      <c r="Y728" s="33">
        <v>64.29</v>
      </c>
      <c r="AC728" s="28">
        <v>64.29</v>
      </c>
      <c r="AD728" s="34" t="s">
        <v>54</v>
      </c>
      <c r="AE728" s="33">
        <v>64.29</v>
      </c>
      <c r="AN728" s="7" t="s">
        <v>54</v>
      </c>
      <c r="AO728" s="7" t="s">
        <v>55</v>
      </c>
      <c r="AP728" s="7" t="s">
        <v>56</v>
      </c>
      <c r="AT728" s="47" t="s">
        <v>57</v>
      </c>
      <c r="AU728" s="47" t="s">
        <v>57</v>
      </c>
    </row>
    <row r="729" spans="1:47">
      <c r="A729" s="4" t="s">
        <v>48</v>
      </c>
      <c r="C729" s="21"/>
      <c r="D729" s="22" t="s">
        <v>49</v>
      </c>
      <c r="G729" s="23">
        <v>45102</v>
      </c>
      <c r="H729" s="24" t="s">
        <v>2210</v>
      </c>
      <c r="J729" s="28" t="s">
        <v>51</v>
      </c>
      <c r="L729" s="24" t="s">
        <v>2211</v>
      </c>
      <c r="M729" s="1" t="str">
        <f>"131082195308294613"</f>
        <v>131082195308294613</v>
      </c>
      <c r="N729" s="24" t="s">
        <v>2211</v>
      </c>
      <c r="O729" s="1" t="str">
        <f>"131082195308294613"</f>
        <v>131082195308294613</v>
      </c>
      <c r="P729" s="23" t="s">
        <v>2212</v>
      </c>
      <c r="Q729" s="23">
        <v>45103</v>
      </c>
      <c r="R729" s="32">
        <v>45469</v>
      </c>
      <c r="V729" s="33">
        <v>100</v>
      </c>
      <c r="W729" s="28">
        <v>64.29</v>
      </c>
      <c r="X729" s="34" t="s">
        <v>54</v>
      </c>
      <c r="Y729" s="33">
        <v>64.29</v>
      </c>
      <c r="AC729" s="28">
        <v>64.29</v>
      </c>
      <c r="AD729" s="34" t="s">
        <v>54</v>
      </c>
      <c r="AE729" s="33">
        <v>64.29</v>
      </c>
      <c r="AN729" s="7" t="s">
        <v>54</v>
      </c>
      <c r="AO729" s="7" t="s">
        <v>55</v>
      </c>
      <c r="AP729" s="7" t="s">
        <v>56</v>
      </c>
      <c r="AT729" s="47" t="s">
        <v>57</v>
      </c>
      <c r="AU729" s="47" t="s">
        <v>57</v>
      </c>
    </row>
    <row r="730" spans="1:47">
      <c r="A730" s="4" t="s">
        <v>48</v>
      </c>
      <c r="C730" s="21"/>
      <c r="D730" s="22" t="s">
        <v>49</v>
      </c>
      <c r="G730" s="23">
        <v>45102</v>
      </c>
      <c r="H730" s="24" t="s">
        <v>2213</v>
      </c>
      <c r="J730" s="28" t="s">
        <v>51</v>
      </c>
      <c r="L730" s="24" t="s">
        <v>2214</v>
      </c>
      <c r="M730" s="1" t="str">
        <f>"341202196610031921"</f>
        <v>341202196610031921</v>
      </c>
      <c r="N730" s="24" t="s">
        <v>2214</v>
      </c>
      <c r="O730" s="1" t="str">
        <f>"341202196610031921"</f>
        <v>341202196610031921</v>
      </c>
      <c r="P730" s="23" t="s">
        <v>2215</v>
      </c>
      <c r="Q730" s="23">
        <v>45103</v>
      </c>
      <c r="R730" s="32">
        <v>45469</v>
      </c>
      <c r="V730" s="33">
        <v>100</v>
      </c>
      <c r="W730" s="28">
        <v>64.29</v>
      </c>
      <c r="X730" s="34" t="s">
        <v>54</v>
      </c>
      <c r="Y730" s="33">
        <v>64.29</v>
      </c>
      <c r="AC730" s="28">
        <v>64.29</v>
      </c>
      <c r="AD730" s="34" t="s">
        <v>54</v>
      </c>
      <c r="AE730" s="33">
        <v>64.29</v>
      </c>
      <c r="AN730" s="7" t="s">
        <v>54</v>
      </c>
      <c r="AO730" s="7" t="s">
        <v>55</v>
      </c>
      <c r="AP730" s="7" t="s">
        <v>56</v>
      </c>
      <c r="AT730" s="47" t="s">
        <v>57</v>
      </c>
      <c r="AU730" s="47" t="s">
        <v>57</v>
      </c>
    </row>
    <row r="731" spans="1:47">
      <c r="A731" s="4" t="s">
        <v>48</v>
      </c>
      <c r="C731" s="21"/>
      <c r="D731" s="22" t="s">
        <v>49</v>
      </c>
      <c r="G731" s="23">
        <v>45092</v>
      </c>
      <c r="H731" s="24" t="s">
        <v>2216</v>
      </c>
      <c r="J731" s="28" t="s">
        <v>51</v>
      </c>
      <c r="L731" s="24" t="s">
        <v>2217</v>
      </c>
      <c r="M731" s="1" t="str">
        <f>"210726198709203129"</f>
        <v>210726198709203129</v>
      </c>
      <c r="N731" s="24" t="s">
        <v>2217</v>
      </c>
      <c r="O731" s="1" t="str">
        <f>"210726198709203129"</f>
        <v>210726198709203129</v>
      </c>
      <c r="P731" s="23" t="s">
        <v>2218</v>
      </c>
      <c r="Q731" s="23">
        <v>45093</v>
      </c>
      <c r="R731" s="32">
        <v>45459</v>
      </c>
      <c r="V731" s="33">
        <v>100</v>
      </c>
      <c r="W731" s="28">
        <v>64.29</v>
      </c>
      <c r="X731" s="34" t="s">
        <v>54</v>
      </c>
      <c r="Y731" s="33">
        <v>64.29</v>
      </c>
      <c r="AC731" s="28">
        <v>64.29</v>
      </c>
      <c r="AD731" s="34" t="s">
        <v>54</v>
      </c>
      <c r="AE731" s="33">
        <v>64.29</v>
      </c>
      <c r="AN731" s="7" t="s">
        <v>54</v>
      </c>
      <c r="AO731" s="7" t="s">
        <v>55</v>
      </c>
      <c r="AP731" s="7" t="s">
        <v>56</v>
      </c>
      <c r="AT731" s="47" t="s">
        <v>57</v>
      </c>
      <c r="AU731" s="47" t="s">
        <v>57</v>
      </c>
    </row>
    <row r="732" spans="1:47">
      <c r="A732" s="4" t="s">
        <v>48</v>
      </c>
      <c r="C732" s="21"/>
      <c r="D732" s="22" t="s">
        <v>49</v>
      </c>
      <c r="G732" s="23">
        <v>45092</v>
      </c>
      <c r="H732" s="24" t="s">
        <v>2219</v>
      </c>
      <c r="J732" s="28" t="s">
        <v>51</v>
      </c>
      <c r="L732" s="24" t="s">
        <v>2220</v>
      </c>
      <c r="M732" s="1" t="str">
        <f>"132821197503123802"</f>
        <v>132821197503123802</v>
      </c>
      <c r="N732" s="24" t="s">
        <v>2220</v>
      </c>
      <c r="O732" s="1" t="str">
        <f>"132821197503123802"</f>
        <v>132821197503123802</v>
      </c>
      <c r="P732" s="23" t="s">
        <v>2221</v>
      </c>
      <c r="Q732" s="23">
        <v>45292</v>
      </c>
      <c r="R732" s="32">
        <v>45658</v>
      </c>
      <c r="V732" s="33">
        <v>100</v>
      </c>
      <c r="W732" s="28">
        <v>64.29</v>
      </c>
      <c r="X732" s="34" t="s">
        <v>54</v>
      </c>
      <c r="Y732" s="33">
        <v>64.29</v>
      </c>
      <c r="AC732" s="28">
        <v>64.29</v>
      </c>
      <c r="AD732" s="34" t="s">
        <v>54</v>
      </c>
      <c r="AE732" s="33">
        <v>64.29</v>
      </c>
      <c r="AN732" s="7" t="s">
        <v>54</v>
      </c>
      <c r="AO732" s="7" t="s">
        <v>55</v>
      </c>
      <c r="AP732" s="7" t="s">
        <v>56</v>
      </c>
      <c r="AT732" s="47" t="s">
        <v>57</v>
      </c>
      <c r="AU732" s="47" t="s">
        <v>57</v>
      </c>
    </row>
    <row r="733" spans="1:47">
      <c r="A733" s="4" t="s">
        <v>48</v>
      </c>
      <c r="C733" s="21"/>
      <c r="D733" s="22" t="s">
        <v>49</v>
      </c>
      <c r="G733" s="23">
        <v>45092</v>
      </c>
      <c r="H733" s="24" t="s">
        <v>2222</v>
      </c>
      <c r="J733" s="28" t="s">
        <v>51</v>
      </c>
      <c r="L733" s="24" t="s">
        <v>2223</v>
      </c>
      <c r="M733" s="1" t="str">
        <f>"342101197808073063"</f>
        <v>342101197808073063</v>
      </c>
      <c r="N733" s="24" t="s">
        <v>2223</v>
      </c>
      <c r="O733" s="1" t="str">
        <f>"342101197808073063"</f>
        <v>342101197808073063</v>
      </c>
      <c r="P733" s="23" t="s">
        <v>2224</v>
      </c>
      <c r="Q733" s="23">
        <v>45303</v>
      </c>
      <c r="R733" s="32">
        <v>45669</v>
      </c>
      <c r="V733" s="33">
        <v>100</v>
      </c>
      <c r="W733" s="28">
        <v>64.29</v>
      </c>
      <c r="X733" s="34" t="s">
        <v>54</v>
      </c>
      <c r="Y733" s="33">
        <v>64.29</v>
      </c>
      <c r="AC733" s="28">
        <v>64.29</v>
      </c>
      <c r="AD733" s="34" t="s">
        <v>54</v>
      </c>
      <c r="AE733" s="33">
        <v>64.29</v>
      </c>
      <c r="AN733" s="7" t="s">
        <v>54</v>
      </c>
      <c r="AO733" s="7" t="s">
        <v>55</v>
      </c>
      <c r="AP733" s="7" t="s">
        <v>56</v>
      </c>
      <c r="AT733" s="47" t="s">
        <v>57</v>
      </c>
      <c r="AU733" s="47" t="s">
        <v>57</v>
      </c>
    </row>
    <row r="734" spans="1:47">
      <c r="A734" s="4" t="s">
        <v>48</v>
      </c>
      <c r="C734" s="21"/>
      <c r="D734" s="22" t="s">
        <v>49</v>
      </c>
      <c r="G734" s="23">
        <v>45091</v>
      </c>
      <c r="H734" s="24" t="s">
        <v>2225</v>
      </c>
      <c r="J734" s="28" t="s">
        <v>51</v>
      </c>
      <c r="L734" s="24" t="s">
        <v>2226</v>
      </c>
      <c r="M734" s="1" t="str">
        <f>"130705198911072116"</f>
        <v>130705198911072116</v>
      </c>
      <c r="N734" s="24" t="s">
        <v>2226</v>
      </c>
      <c r="O734" s="1" t="str">
        <f>"130705198911072116"</f>
        <v>130705198911072116</v>
      </c>
      <c r="P734" s="23" t="s">
        <v>2227</v>
      </c>
      <c r="Q734" s="23">
        <v>45092</v>
      </c>
      <c r="R734" s="32">
        <v>45458</v>
      </c>
      <c r="V734" s="33">
        <v>100</v>
      </c>
      <c r="W734" s="28">
        <v>64.29</v>
      </c>
      <c r="X734" s="34" t="s">
        <v>54</v>
      </c>
      <c r="Y734" s="33">
        <v>64.29</v>
      </c>
      <c r="AC734" s="28">
        <v>64.29</v>
      </c>
      <c r="AD734" s="34" t="s">
        <v>54</v>
      </c>
      <c r="AE734" s="33">
        <v>64.29</v>
      </c>
      <c r="AN734" s="7" t="s">
        <v>54</v>
      </c>
      <c r="AO734" s="7" t="s">
        <v>55</v>
      </c>
      <c r="AP734" s="7" t="s">
        <v>56</v>
      </c>
      <c r="AT734" s="47" t="s">
        <v>57</v>
      </c>
      <c r="AU734" s="47" t="s">
        <v>57</v>
      </c>
    </row>
    <row r="735" spans="1:47">
      <c r="A735" s="4" t="s">
        <v>48</v>
      </c>
      <c r="C735" s="21"/>
      <c r="D735" s="22" t="s">
        <v>49</v>
      </c>
      <c r="G735" s="23">
        <v>45092</v>
      </c>
      <c r="H735" s="24" t="s">
        <v>2228</v>
      </c>
      <c r="J735" s="28" t="s">
        <v>51</v>
      </c>
      <c r="L735" s="24" t="s">
        <v>2229</v>
      </c>
      <c r="M735" s="1" t="str">
        <f>"342121197010160016"</f>
        <v>342121197010160016</v>
      </c>
      <c r="N735" s="24" t="s">
        <v>2229</v>
      </c>
      <c r="O735" s="1" t="str">
        <f>"342121197010160016"</f>
        <v>342121197010160016</v>
      </c>
      <c r="P735" s="23" t="s">
        <v>2230</v>
      </c>
      <c r="Q735" s="23">
        <v>45093</v>
      </c>
      <c r="R735" s="32">
        <v>45459</v>
      </c>
      <c r="V735" s="33">
        <v>100</v>
      </c>
      <c r="W735" s="28">
        <v>64.29</v>
      </c>
      <c r="X735" s="34" t="s">
        <v>54</v>
      </c>
      <c r="Y735" s="33">
        <v>64.29</v>
      </c>
      <c r="AC735" s="28">
        <v>64.29</v>
      </c>
      <c r="AD735" s="34" t="s">
        <v>54</v>
      </c>
      <c r="AE735" s="33">
        <v>64.29</v>
      </c>
      <c r="AN735" s="7" t="s">
        <v>54</v>
      </c>
      <c r="AO735" s="7" t="s">
        <v>55</v>
      </c>
      <c r="AP735" s="7" t="s">
        <v>56</v>
      </c>
      <c r="AT735" s="47" t="s">
        <v>57</v>
      </c>
      <c r="AU735" s="47" t="s">
        <v>57</v>
      </c>
    </row>
    <row r="736" spans="1:47">
      <c r="A736" s="4" t="s">
        <v>48</v>
      </c>
      <c r="C736" s="21"/>
      <c r="D736" s="22" t="s">
        <v>49</v>
      </c>
      <c r="G736" s="23">
        <v>45082</v>
      </c>
      <c r="H736" s="24" t="s">
        <v>2231</v>
      </c>
      <c r="J736" s="28" t="s">
        <v>51</v>
      </c>
      <c r="L736" s="24" t="s">
        <v>2232</v>
      </c>
      <c r="M736" s="1" t="str">
        <f>"131082198901165824"</f>
        <v>131082198901165824</v>
      </c>
      <c r="N736" s="24" t="s">
        <v>2232</v>
      </c>
      <c r="O736" s="1" t="str">
        <f>"131082198901165824"</f>
        <v>131082198901165824</v>
      </c>
      <c r="P736" s="23" t="s">
        <v>2233</v>
      </c>
      <c r="Q736" s="23">
        <v>45144</v>
      </c>
      <c r="R736" s="32">
        <v>45510</v>
      </c>
      <c r="V736" s="33">
        <v>100</v>
      </c>
      <c r="W736" s="28">
        <v>64.29</v>
      </c>
      <c r="X736" s="34" t="s">
        <v>54</v>
      </c>
      <c r="Y736" s="33">
        <v>64.29</v>
      </c>
      <c r="AC736" s="28">
        <v>64.29</v>
      </c>
      <c r="AD736" s="34" t="s">
        <v>54</v>
      </c>
      <c r="AE736" s="33">
        <v>64.29</v>
      </c>
      <c r="AN736" s="7" t="s">
        <v>54</v>
      </c>
      <c r="AO736" s="7" t="s">
        <v>55</v>
      </c>
      <c r="AP736" s="7" t="s">
        <v>56</v>
      </c>
      <c r="AT736" s="47" t="s">
        <v>57</v>
      </c>
      <c r="AU736" s="47" t="s">
        <v>57</v>
      </c>
    </row>
    <row r="737" spans="1:47">
      <c r="A737" s="4" t="s">
        <v>48</v>
      </c>
      <c r="C737" s="21"/>
      <c r="D737" s="22" t="s">
        <v>49</v>
      </c>
      <c r="G737" s="23">
        <v>45082</v>
      </c>
      <c r="H737" s="24" t="s">
        <v>2234</v>
      </c>
      <c r="J737" s="28" t="s">
        <v>51</v>
      </c>
      <c r="L737" s="24" t="s">
        <v>2235</v>
      </c>
      <c r="M737" s="1" t="str">
        <f>"511011199010088298"</f>
        <v>511011199010088298</v>
      </c>
      <c r="N737" s="24" t="s">
        <v>2235</v>
      </c>
      <c r="O737" s="1" t="str">
        <f>"511011199010088298"</f>
        <v>511011199010088298</v>
      </c>
      <c r="P737" s="23" t="s">
        <v>2236</v>
      </c>
      <c r="Q737" s="23">
        <v>45139</v>
      </c>
      <c r="R737" s="32">
        <v>45505</v>
      </c>
      <c r="V737" s="33">
        <v>100</v>
      </c>
      <c r="W737" s="28">
        <v>64.29</v>
      </c>
      <c r="X737" s="34" t="s">
        <v>54</v>
      </c>
      <c r="Y737" s="33">
        <v>64.29</v>
      </c>
      <c r="AC737" s="28">
        <v>64.29</v>
      </c>
      <c r="AD737" s="34" t="s">
        <v>54</v>
      </c>
      <c r="AE737" s="33">
        <v>64.29</v>
      </c>
      <c r="AN737" s="7" t="s">
        <v>54</v>
      </c>
      <c r="AO737" s="7" t="s">
        <v>55</v>
      </c>
      <c r="AP737" s="7" t="s">
        <v>56</v>
      </c>
      <c r="AT737" s="47" t="s">
        <v>57</v>
      </c>
      <c r="AU737" s="47" t="s">
        <v>57</v>
      </c>
    </row>
    <row r="738" spans="1:47">
      <c r="A738" s="4" t="s">
        <v>48</v>
      </c>
      <c r="C738" s="21"/>
      <c r="D738" s="22" t="s">
        <v>49</v>
      </c>
      <c r="G738" s="23">
        <v>45087</v>
      </c>
      <c r="H738" s="24" t="s">
        <v>2237</v>
      </c>
      <c r="J738" s="28" t="s">
        <v>51</v>
      </c>
      <c r="L738" s="24" t="s">
        <v>2238</v>
      </c>
      <c r="M738" s="1" t="str">
        <f>"131082199002030285"</f>
        <v>131082199002030285</v>
      </c>
      <c r="N738" s="24" t="s">
        <v>2238</v>
      </c>
      <c r="O738" s="1" t="str">
        <f>"131082199002030285"</f>
        <v>131082199002030285</v>
      </c>
      <c r="P738" s="23" t="s">
        <v>2239</v>
      </c>
      <c r="Q738" s="23">
        <v>45088</v>
      </c>
      <c r="R738" s="32">
        <v>45454</v>
      </c>
      <c r="V738" s="33">
        <v>200</v>
      </c>
      <c r="W738" s="28">
        <v>64.29</v>
      </c>
      <c r="X738" s="34" t="s">
        <v>54</v>
      </c>
      <c r="Y738" s="33">
        <v>128.58</v>
      </c>
      <c r="AC738" s="28">
        <v>64.29</v>
      </c>
      <c r="AD738" s="34" t="s">
        <v>54</v>
      </c>
      <c r="AE738" s="33">
        <v>128.58</v>
      </c>
      <c r="AN738" s="7" t="s">
        <v>54</v>
      </c>
      <c r="AO738" s="7" t="s">
        <v>55</v>
      </c>
      <c r="AP738" s="7" t="s">
        <v>56</v>
      </c>
      <c r="AT738" s="47" t="s">
        <v>57</v>
      </c>
      <c r="AU738" s="47" t="s">
        <v>57</v>
      </c>
    </row>
    <row r="739" spans="1:47">
      <c r="A739" s="4" t="s">
        <v>48</v>
      </c>
      <c r="C739" s="21"/>
      <c r="D739" s="22" t="s">
        <v>49</v>
      </c>
      <c r="G739" s="23">
        <v>45087</v>
      </c>
      <c r="H739" s="24" t="s">
        <v>2240</v>
      </c>
      <c r="J739" s="28" t="s">
        <v>51</v>
      </c>
      <c r="L739" s="24" t="s">
        <v>2241</v>
      </c>
      <c r="M739" s="1" t="str">
        <f>"341202198506083608"</f>
        <v>341202198506083608</v>
      </c>
      <c r="N739" s="24" t="s">
        <v>2241</v>
      </c>
      <c r="O739" s="1" t="str">
        <f>"341202198506083608"</f>
        <v>341202198506083608</v>
      </c>
      <c r="P739" s="23" t="s">
        <v>2242</v>
      </c>
      <c r="Q739" s="23">
        <v>45088</v>
      </c>
      <c r="R739" s="32">
        <v>45454</v>
      </c>
      <c r="V739" s="33">
        <v>200</v>
      </c>
      <c r="W739" s="28">
        <v>64.29</v>
      </c>
      <c r="X739" s="34" t="s">
        <v>54</v>
      </c>
      <c r="Y739" s="33">
        <v>128.58</v>
      </c>
      <c r="AC739" s="28">
        <v>64.29</v>
      </c>
      <c r="AD739" s="34" t="s">
        <v>54</v>
      </c>
      <c r="AE739" s="33">
        <v>128.58</v>
      </c>
      <c r="AN739" s="7" t="s">
        <v>54</v>
      </c>
      <c r="AO739" s="7" t="s">
        <v>55</v>
      </c>
      <c r="AP739" s="7" t="s">
        <v>56</v>
      </c>
      <c r="AT739" s="47" t="s">
        <v>57</v>
      </c>
      <c r="AU739" s="47" t="s">
        <v>57</v>
      </c>
    </row>
    <row r="740" spans="1:47">
      <c r="A740" s="4" t="s">
        <v>48</v>
      </c>
      <c r="C740" s="21"/>
      <c r="D740" s="22" t="s">
        <v>49</v>
      </c>
      <c r="G740" s="23">
        <v>45087</v>
      </c>
      <c r="H740" s="24" t="s">
        <v>2243</v>
      </c>
      <c r="J740" s="28" t="s">
        <v>51</v>
      </c>
      <c r="L740" s="24" t="s">
        <v>2244</v>
      </c>
      <c r="M740" s="1" t="str">
        <f>"120222198810262620"</f>
        <v>120222198810262620</v>
      </c>
      <c r="N740" s="24" t="s">
        <v>2244</v>
      </c>
      <c r="O740" s="1" t="str">
        <f>"120222198810262620"</f>
        <v>120222198810262620</v>
      </c>
      <c r="P740" s="23" t="s">
        <v>2245</v>
      </c>
      <c r="Q740" s="23">
        <v>45088</v>
      </c>
      <c r="R740" s="32">
        <v>45454</v>
      </c>
      <c r="V740" s="33">
        <v>200</v>
      </c>
      <c r="W740" s="28">
        <v>64.29</v>
      </c>
      <c r="X740" s="34" t="s">
        <v>54</v>
      </c>
      <c r="Y740" s="33">
        <v>128.58</v>
      </c>
      <c r="AC740" s="28">
        <v>64.29</v>
      </c>
      <c r="AD740" s="34" t="s">
        <v>54</v>
      </c>
      <c r="AE740" s="33">
        <v>128.58</v>
      </c>
      <c r="AN740" s="7" t="s">
        <v>54</v>
      </c>
      <c r="AO740" s="7" t="s">
        <v>55</v>
      </c>
      <c r="AP740" s="7" t="s">
        <v>56</v>
      </c>
      <c r="AT740" s="47" t="s">
        <v>57</v>
      </c>
      <c r="AU740" s="47" t="s">
        <v>57</v>
      </c>
    </row>
    <row r="741" spans="1:47">
      <c r="A741" s="4" t="s">
        <v>48</v>
      </c>
      <c r="C741" s="21"/>
      <c r="D741" s="22" t="s">
        <v>49</v>
      </c>
      <c r="G741" s="23">
        <v>45102</v>
      </c>
      <c r="H741" s="24" t="s">
        <v>2246</v>
      </c>
      <c r="J741" s="28" t="s">
        <v>51</v>
      </c>
      <c r="L741" s="24" t="s">
        <v>2247</v>
      </c>
      <c r="M741" s="1" t="str">
        <f>"131082198710234153"</f>
        <v>131082198710234153</v>
      </c>
      <c r="N741" s="24" t="s">
        <v>2247</v>
      </c>
      <c r="O741" s="1" t="str">
        <f>"131082198710234153"</f>
        <v>131082198710234153</v>
      </c>
      <c r="P741" s="23" t="s">
        <v>2248</v>
      </c>
      <c r="Q741" s="23">
        <v>45117</v>
      </c>
      <c r="R741" s="32">
        <v>45483</v>
      </c>
      <c r="V741" s="33">
        <v>100</v>
      </c>
      <c r="W741" s="28">
        <v>64.29</v>
      </c>
      <c r="X741" s="34" t="s">
        <v>54</v>
      </c>
      <c r="Y741" s="33">
        <v>64.29</v>
      </c>
      <c r="AC741" s="28">
        <v>64.29</v>
      </c>
      <c r="AD741" s="34" t="s">
        <v>54</v>
      </c>
      <c r="AE741" s="33">
        <v>64.29</v>
      </c>
      <c r="AN741" s="7" t="s">
        <v>54</v>
      </c>
      <c r="AO741" s="7" t="s">
        <v>55</v>
      </c>
      <c r="AP741" s="7" t="s">
        <v>56</v>
      </c>
      <c r="AT741" s="47" t="s">
        <v>57</v>
      </c>
      <c r="AU741" s="47" t="s">
        <v>57</v>
      </c>
    </row>
    <row r="742" spans="1:47">
      <c r="A742" s="4" t="s">
        <v>48</v>
      </c>
      <c r="C742" s="21"/>
      <c r="D742" s="22" t="s">
        <v>49</v>
      </c>
      <c r="G742" s="23">
        <v>45100</v>
      </c>
      <c r="H742" s="24" t="s">
        <v>2249</v>
      </c>
      <c r="J742" s="28" t="s">
        <v>51</v>
      </c>
      <c r="L742" s="24" t="s">
        <v>2250</v>
      </c>
      <c r="M742" s="1" t="str">
        <f>"132822197507303516"</f>
        <v>132822197507303516</v>
      </c>
      <c r="N742" s="24" t="s">
        <v>2250</v>
      </c>
      <c r="O742" s="1" t="str">
        <f>"132822197507303516"</f>
        <v>132822197507303516</v>
      </c>
      <c r="P742" s="23" t="s">
        <v>2251</v>
      </c>
      <c r="Q742" s="23">
        <v>45101</v>
      </c>
      <c r="R742" s="32">
        <v>45467</v>
      </c>
      <c r="V742" s="33">
        <v>100</v>
      </c>
      <c r="W742" s="28">
        <v>64.29</v>
      </c>
      <c r="X742" s="34" t="s">
        <v>54</v>
      </c>
      <c r="Y742" s="33">
        <v>64.29</v>
      </c>
      <c r="AC742" s="28">
        <v>64.29</v>
      </c>
      <c r="AD742" s="34" t="s">
        <v>54</v>
      </c>
      <c r="AE742" s="33">
        <v>64.29</v>
      </c>
      <c r="AN742" s="7" t="s">
        <v>54</v>
      </c>
      <c r="AO742" s="7" t="s">
        <v>55</v>
      </c>
      <c r="AP742" s="7" t="s">
        <v>56</v>
      </c>
      <c r="AT742" s="47" t="s">
        <v>57</v>
      </c>
      <c r="AU742" s="47" t="s">
        <v>57</v>
      </c>
    </row>
    <row r="743" spans="1:47">
      <c r="A743" s="4" t="s">
        <v>48</v>
      </c>
      <c r="C743" s="21"/>
      <c r="D743" s="22" t="s">
        <v>49</v>
      </c>
      <c r="G743" s="23">
        <v>45102</v>
      </c>
      <c r="H743" s="24" t="s">
        <v>2252</v>
      </c>
      <c r="J743" s="28" t="s">
        <v>51</v>
      </c>
      <c r="L743" s="24" t="s">
        <v>2253</v>
      </c>
      <c r="M743" s="1" t="str">
        <f>"640102199411060314"</f>
        <v>640102199411060314</v>
      </c>
      <c r="N743" s="24" t="s">
        <v>2253</v>
      </c>
      <c r="O743" s="1" t="str">
        <f>"640102199411060314"</f>
        <v>640102199411060314</v>
      </c>
      <c r="P743" s="23" t="s">
        <v>2254</v>
      </c>
      <c r="Q743" s="23">
        <v>45103</v>
      </c>
      <c r="R743" s="32">
        <v>45469</v>
      </c>
      <c r="V743" s="33">
        <v>100</v>
      </c>
      <c r="W743" s="28">
        <v>64.29</v>
      </c>
      <c r="X743" s="34" t="s">
        <v>54</v>
      </c>
      <c r="Y743" s="33">
        <v>64.29</v>
      </c>
      <c r="AC743" s="28">
        <v>64.29</v>
      </c>
      <c r="AD743" s="34" t="s">
        <v>54</v>
      </c>
      <c r="AE743" s="33">
        <v>64.29</v>
      </c>
      <c r="AN743" s="7" t="s">
        <v>54</v>
      </c>
      <c r="AO743" s="7" t="s">
        <v>55</v>
      </c>
      <c r="AP743" s="7" t="s">
        <v>56</v>
      </c>
      <c r="AT743" s="47" t="s">
        <v>57</v>
      </c>
      <c r="AU743" s="47" t="s">
        <v>57</v>
      </c>
    </row>
    <row r="744" spans="1:47">
      <c r="A744" s="4" t="s">
        <v>48</v>
      </c>
      <c r="C744" s="21"/>
      <c r="D744" s="22" t="s">
        <v>49</v>
      </c>
      <c r="G744" s="23">
        <v>45092</v>
      </c>
      <c r="H744" s="24" t="s">
        <v>2255</v>
      </c>
      <c r="J744" s="28" t="s">
        <v>51</v>
      </c>
      <c r="L744" s="24" t="s">
        <v>2256</v>
      </c>
      <c r="M744" s="1" t="str">
        <f>"232321197412133331"</f>
        <v>232321197412133331</v>
      </c>
      <c r="N744" s="24" t="s">
        <v>2256</v>
      </c>
      <c r="O744" s="1" t="str">
        <f>"232321197412133331"</f>
        <v>232321197412133331</v>
      </c>
      <c r="P744" s="23" t="s">
        <v>2257</v>
      </c>
      <c r="Q744" s="23">
        <v>45093</v>
      </c>
      <c r="R744" s="32">
        <v>45459</v>
      </c>
      <c r="V744" s="33">
        <v>100</v>
      </c>
      <c r="W744" s="28">
        <v>64.29</v>
      </c>
      <c r="X744" s="34" t="s">
        <v>54</v>
      </c>
      <c r="Y744" s="33">
        <v>64.29</v>
      </c>
      <c r="AC744" s="28">
        <v>64.29</v>
      </c>
      <c r="AD744" s="34" t="s">
        <v>54</v>
      </c>
      <c r="AE744" s="33">
        <v>64.29</v>
      </c>
      <c r="AN744" s="7" t="s">
        <v>54</v>
      </c>
      <c r="AO744" s="7" t="s">
        <v>55</v>
      </c>
      <c r="AP744" s="7" t="s">
        <v>56</v>
      </c>
      <c r="AT744" s="47" t="s">
        <v>57</v>
      </c>
      <c r="AU744" s="47" t="s">
        <v>57</v>
      </c>
    </row>
    <row r="745" spans="1:47">
      <c r="A745" s="4" t="s">
        <v>48</v>
      </c>
      <c r="C745" s="21"/>
      <c r="D745" s="22" t="s">
        <v>49</v>
      </c>
      <c r="G745" s="23">
        <v>45091</v>
      </c>
      <c r="H745" s="24" t="s">
        <v>2258</v>
      </c>
      <c r="J745" s="28" t="s">
        <v>51</v>
      </c>
      <c r="L745" s="24" t="s">
        <v>2176</v>
      </c>
      <c r="M745" s="1" t="str">
        <f>"132821197005180265"</f>
        <v>132821197005180265</v>
      </c>
      <c r="N745" s="24" t="s">
        <v>2176</v>
      </c>
      <c r="O745" s="1" t="str">
        <f>"132821197005180265"</f>
        <v>132821197005180265</v>
      </c>
      <c r="P745" s="23" t="s">
        <v>2259</v>
      </c>
      <c r="Q745" s="23">
        <v>45092</v>
      </c>
      <c r="R745" s="32">
        <v>45458</v>
      </c>
      <c r="V745" s="33">
        <v>100</v>
      </c>
      <c r="W745" s="28">
        <v>64.29</v>
      </c>
      <c r="X745" s="34" t="s">
        <v>54</v>
      </c>
      <c r="Y745" s="33">
        <v>64.29</v>
      </c>
      <c r="AC745" s="28">
        <v>64.29</v>
      </c>
      <c r="AD745" s="34" t="s">
        <v>54</v>
      </c>
      <c r="AE745" s="33">
        <v>64.29</v>
      </c>
      <c r="AN745" s="7" t="s">
        <v>54</v>
      </c>
      <c r="AO745" s="7" t="s">
        <v>55</v>
      </c>
      <c r="AP745" s="7" t="s">
        <v>56</v>
      </c>
      <c r="AT745" s="47" t="s">
        <v>57</v>
      </c>
      <c r="AU745" s="47" t="s">
        <v>57</v>
      </c>
    </row>
    <row r="746" spans="1:47">
      <c r="A746" s="4" t="s">
        <v>48</v>
      </c>
      <c r="C746" s="21"/>
      <c r="D746" s="22" t="s">
        <v>49</v>
      </c>
      <c r="G746" s="23">
        <v>45091</v>
      </c>
      <c r="H746" s="24" t="s">
        <v>2260</v>
      </c>
      <c r="J746" s="28" t="s">
        <v>51</v>
      </c>
      <c r="L746" s="24" t="s">
        <v>2261</v>
      </c>
      <c r="M746" s="1" t="str">
        <f>"131082197405214987"</f>
        <v>131082197405214987</v>
      </c>
      <c r="N746" s="24" t="s">
        <v>2261</v>
      </c>
      <c r="O746" s="1" t="str">
        <f>"131082197405214987"</f>
        <v>131082197405214987</v>
      </c>
      <c r="P746" s="23" t="s">
        <v>2262</v>
      </c>
      <c r="Q746" s="23">
        <v>45092</v>
      </c>
      <c r="R746" s="32">
        <v>45458</v>
      </c>
      <c r="V746" s="33">
        <v>100</v>
      </c>
      <c r="W746" s="28">
        <v>64.29</v>
      </c>
      <c r="X746" s="34" t="s">
        <v>54</v>
      </c>
      <c r="Y746" s="33">
        <v>64.29</v>
      </c>
      <c r="AC746" s="28">
        <v>64.29</v>
      </c>
      <c r="AD746" s="34" t="s">
        <v>54</v>
      </c>
      <c r="AE746" s="33">
        <v>64.29</v>
      </c>
      <c r="AN746" s="7" t="s">
        <v>54</v>
      </c>
      <c r="AO746" s="7" t="s">
        <v>55</v>
      </c>
      <c r="AP746" s="7" t="s">
        <v>56</v>
      </c>
      <c r="AT746" s="47" t="s">
        <v>57</v>
      </c>
      <c r="AU746" s="47" t="s">
        <v>57</v>
      </c>
    </row>
    <row r="747" spans="1:47">
      <c r="A747" s="4" t="s">
        <v>48</v>
      </c>
      <c r="C747" s="21"/>
      <c r="D747" s="22" t="s">
        <v>49</v>
      </c>
      <c r="G747" s="23">
        <v>45092</v>
      </c>
      <c r="H747" s="24" t="s">
        <v>2263</v>
      </c>
      <c r="J747" s="28" t="s">
        <v>51</v>
      </c>
      <c r="L747" s="24" t="s">
        <v>2264</v>
      </c>
      <c r="M747" s="1" t="str">
        <f>"13040419691115331X"</f>
        <v>13040419691115331X</v>
      </c>
      <c r="N747" s="24" t="s">
        <v>2264</v>
      </c>
      <c r="O747" s="1" t="str">
        <f>"13040419691115331X"</f>
        <v>13040419691115331X</v>
      </c>
      <c r="P747" s="23" t="s">
        <v>2265</v>
      </c>
      <c r="Q747" s="23">
        <v>45093</v>
      </c>
      <c r="R747" s="32">
        <v>45459</v>
      </c>
      <c r="V747" s="33">
        <v>100</v>
      </c>
      <c r="W747" s="28">
        <v>64.29</v>
      </c>
      <c r="X747" s="34" t="s">
        <v>54</v>
      </c>
      <c r="Y747" s="33">
        <v>64.29</v>
      </c>
      <c r="AC747" s="28">
        <v>64.29</v>
      </c>
      <c r="AD747" s="34" t="s">
        <v>54</v>
      </c>
      <c r="AE747" s="33">
        <v>64.29</v>
      </c>
      <c r="AN747" s="7" t="s">
        <v>54</v>
      </c>
      <c r="AO747" s="7" t="s">
        <v>55</v>
      </c>
      <c r="AP747" s="7" t="s">
        <v>56</v>
      </c>
      <c r="AT747" s="47" t="s">
        <v>57</v>
      </c>
      <c r="AU747" s="47" t="s">
        <v>57</v>
      </c>
    </row>
    <row r="748" spans="1:47">
      <c r="A748" s="4" t="s">
        <v>48</v>
      </c>
      <c r="C748" s="21"/>
      <c r="D748" s="22" t="s">
        <v>49</v>
      </c>
      <c r="G748" s="23">
        <v>45092</v>
      </c>
      <c r="H748" s="24" t="s">
        <v>2266</v>
      </c>
      <c r="J748" s="28" t="s">
        <v>51</v>
      </c>
      <c r="L748" s="24" t="s">
        <v>2267</v>
      </c>
      <c r="M748" s="1" t="str">
        <f>"120222196103155245"</f>
        <v>120222196103155245</v>
      </c>
      <c r="N748" s="24" t="s">
        <v>2267</v>
      </c>
      <c r="O748" s="1" t="str">
        <f>"120222196103155245"</f>
        <v>120222196103155245</v>
      </c>
      <c r="P748" s="23" t="s">
        <v>2268</v>
      </c>
      <c r="Q748" s="23">
        <v>45093</v>
      </c>
      <c r="R748" s="32">
        <v>45459</v>
      </c>
      <c r="V748" s="33">
        <v>100</v>
      </c>
      <c r="W748" s="28">
        <v>64.29</v>
      </c>
      <c r="X748" s="34" t="s">
        <v>54</v>
      </c>
      <c r="Y748" s="33">
        <v>64.29</v>
      </c>
      <c r="AC748" s="28">
        <v>64.29</v>
      </c>
      <c r="AD748" s="34" t="s">
        <v>54</v>
      </c>
      <c r="AE748" s="33">
        <v>64.29</v>
      </c>
      <c r="AN748" s="7" t="s">
        <v>54</v>
      </c>
      <c r="AO748" s="7" t="s">
        <v>55</v>
      </c>
      <c r="AP748" s="7" t="s">
        <v>56</v>
      </c>
      <c r="AT748" s="47" t="s">
        <v>57</v>
      </c>
      <c r="AU748" s="47" t="s">
        <v>57</v>
      </c>
    </row>
    <row r="749" spans="1:47">
      <c r="A749" s="4" t="s">
        <v>48</v>
      </c>
      <c r="C749" s="21"/>
      <c r="D749" s="22" t="s">
        <v>49</v>
      </c>
      <c r="G749" s="23">
        <v>45092</v>
      </c>
      <c r="H749" s="24" t="s">
        <v>2269</v>
      </c>
      <c r="J749" s="28" t="s">
        <v>51</v>
      </c>
      <c r="L749" s="24" t="s">
        <v>2270</v>
      </c>
      <c r="M749" s="1" t="str">
        <f>"130128199412080089"</f>
        <v>130128199412080089</v>
      </c>
      <c r="N749" s="24" t="s">
        <v>2270</v>
      </c>
      <c r="O749" s="1" t="str">
        <f>"130128199412080089"</f>
        <v>130128199412080089</v>
      </c>
      <c r="P749" s="23" t="s">
        <v>2271</v>
      </c>
      <c r="Q749" s="23">
        <v>45200</v>
      </c>
      <c r="R749" s="32">
        <v>45566</v>
      </c>
      <c r="V749" s="33">
        <v>100</v>
      </c>
      <c r="W749" s="28">
        <v>64.29</v>
      </c>
      <c r="X749" s="34" t="s">
        <v>54</v>
      </c>
      <c r="Y749" s="33">
        <v>64.29</v>
      </c>
      <c r="AC749" s="28">
        <v>64.29</v>
      </c>
      <c r="AD749" s="34" t="s">
        <v>54</v>
      </c>
      <c r="AE749" s="33">
        <v>64.29</v>
      </c>
      <c r="AN749" s="7" t="s">
        <v>54</v>
      </c>
      <c r="AO749" s="7" t="s">
        <v>55</v>
      </c>
      <c r="AP749" s="7" t="s">
        <v>56</v>
      </c>
      <c r="AT749" s="47" t="s">
        <v>57</v>
      </c>
      <c r="AU749" s="47" t="s">
        <v>57</v>
      </c>
    </row>
    <row r="750" spans="1:47">
      <c r="A750" s="4" t="s">
        <v>48</v>
      </c>
      <c r="C750" s="21"/>
      <c r="D750" s="22" t="s">
        <v>49</v>
      </c>
      <c r="G750" s="23">
        <v>45079</v>
      </c>
      <c r="H750" s="24" t="s">
        <v>2272</v>
      </c>
      <c r="J750" s="28" t="s">
        <v>51</v>
      </c>
      <c r="L750" s="24" t="s">
        <v>2273</v>
      </c>
      <c r="M750" s="1" t="str">
        <f>"220322196105087572"</f>
        <v>220322196105087572</v>
      </c>
      <c r="N750" s="24" t="s">
        <v>2273</v>
      </c>
      <c r="O750" s="1" t="str">
        <f>"220322196105087572"</f>
        <v>220322196105087572</v>
      </c>
      <c r="P750" s="23" t="s">
        <v>2274</v>
      </c>
      <c r="Q750" s="23">
        <v>45080</v>
      </c>
      <c r="R750" s="32">
        <v>45446</v>
      </c>
      <c r="V750" s="33">
        <v>100</v>
      </c>
      <c r="W750" s="28">
        <v>64.29</v>
      </c>
      <c r="X750" s="34" t="s">
        <v>54</v>
      </c>
      <c r="Y750" s="33">
        <v>64.29</v>
      </c>
      <c r="AC750" s="28">
        <v>64.29</v>
      </c>
      <c r="AD750" s="34" t="s">
        <v>54</v>
      </c>
      <c r="AE750" s="33">
        <v>64.29</v>
      </c>
      <c r="AN750" s="7" t="s">
        <v>54</v>
      </c>
      <c r="AO750" s="7" t="s">
        <v>55</v>
      </c>
      <c r="AP750" s="7" t="s">
        <v>56</v>
      </c>
      <c r="AT750" s="47" t="s">
        <v>57</v>
      </c>
      <c r="AU750" s="47" t="s">
        <v>57</v>
      </c>
    </row>
    <row r="751" spans="1:47">
      <c r="A751" s="4" t="s">
        <v>48</v>
      </c>
      <c r="C751" s="21"/>
      <c r="D751" s="22" t="s">
        <v>49</v>
      </c>
      <c r="G751" s="23">
        <v>45079</v>
      </c>
      <c r="H751" s="24" t="s">
        <v>2275</v>
      </c>
      <c r="J751" s="28" t="s">
        <v>51</v>
      </c>
      <c r="L751" s="24" t="s">
        <v>2276</v>
      </c>
      <c r="M751" s="1" t="str">
        <f>"342101198302097644"</f>
        <v>342101198302097644</v>
      </c>
      <c r="N751" s="24" t="s">
        <v>2276</v>
      </c>
      <c r="O751" s="1" t="str">
        <f>"342101198302097644"</f>
        <v>342101198302097644</v>
      </c>
      <c r="P751" s="23" t="s">
        <v>2277</v>
      </c>
      <c r="Q751" s="23">
        <v>45080</v>
      </c>
      <c r="R751" s="32">
        <v>45446</v>
      </c>
      <c r="V751" s="33">
        <v>100</v>
      </c>
      <c r="W751" s="28">
        <v>64.29</v>
      </c>
      <c r="X751" s="34" t="s">
        <v>54</v>
      </c>
      <c r="Y751" s="33">
        <v>64.29</v>
      </c>
      <c r="AC751" s="28">
        <v>64.29</v>
      </c>
      <c r="AD751" s="34" t="s">
        <v>54</v>
      </c>
      <c r="AE751" s="33">
        <v>64.29</v>
      </c>
      <c r="AN751" s="7" t="s">
        <v>54</v>
      </c>
      <c r="AO751" s="7" t="s">
        <v>55</v>
      </c>
      <c r="AP751" s="7" t="s">
        <v>56</v>
      </c>
      <c r="AT751" s="47" t="s">
        <v>57</v>
      </c>
      <c r="AU751" s="47" t="s">
        <v>57</v>
      </c>
    </row>
    <row r="752" spans="1:47">
      <c r="A752" s="4" t="s">
        <v>48</v>
      </c>
      <c r="C752" s="21"/>
      <c r="D752" s="22" t="s">
        <v>49</v>
      </c>
      <c r="G752" s="23">
        <v>45084</v>
      </c>
      <c r="H752" s="24" t="s">
        <v>2278</v>
      </c>
      <c r="J752" s="28" t="s">
        <v>51</v>
      </c>
      <c r="L752" s="24" t="s">
        <v>2279</v>
      </c>
      <c r="M752" s="1" t="str">
        <f>"341202198810113349"</f>
        <v>341202198810113349</v>
      </c>
      <c r="N752" s="24" t="s">
        <v>2279</v>
      </c>
      <c r="O752" s="1" t="str">
        <f>"341202198810113349"</f>
        <v>341202198810113349</v>
      </c>
      <c r="P752" s="23" t="s">
        <v>2280</v>
      </c>
      <c r="Q752" s="23">
        <v>45085</v>
      </c>
      <c r="R752" s="32">
        <v>45451</v>
      </c>
      <c r="V752" s="33">
        <v>200</v>
      </c>
      <c r="W752" s="28">
        <v>64.29</v>
      </c>
      <c r="X752" s="34" t="s">
        <v>54</v>
      </c>
      <c r="Y752" s="33">
        <v>128.58</v>
      </c>
      <c r="AC752" s="28">
        <v>64.29</v>
      </c>
      <c r="AD752" s="34" t="s">
        <v>54</v>
      </c>
      <c r="AE752" s="33">
        <v>128.58</v>
      </c>
      <c r="AN752" s="7" t="s">
        <v>54</v>
      </c>
      <c r="AO752" s="7" t="s">
        <v>55</v>
      </c>
      <c r="AP752" s="7" t="s">
        <v>56</v>
      </c>
      <c r="AT752" s="47" t="s">
        <v>57</v>
      </c>
      <c r="AU752" s="47" t="s">
        <v>57</v>
      </c>
    </row>
    <row r="753" spans="1:47">
      <c r="A753" s="4" t="s">
        <v>48</v>
      </c>
      <c r="C753" s="21"/>
      <c r="D753" s="22" t="s">
        <v>49</v>
      </c>
      <c r="G753" s="23">
        <v>45084</v>
      </c>
      <c r="H753" s="24" t="s">
        <v>2281</v>
      </c>
      <c r="J753" s="28" t="s">
        <v>51</v>
      </c>
      <c r="L753" s="24" t="s">
        <v>2279</v>
      </c>
      <c r="M753" s="1" t="str">
        <f>"342121196308283217"</f>
        <v>342121196308283217</v>
      </c>
      <c r="N753" s="24" t="s">
        <v>2279</v>
      </c>
      <c r="O753" s="1" t="str">
        <f>"342121196308283217"</f>
        <v>342121196308283217</v>
      </c>
      <c r="P753" s="23" t="s">
        <v>2282</v>
      </c>
      <c r="Q753" s="23">
        <v>45085</v>
      </c>
      <c r="R753" s="32">
        <v>45451</v>
      </c>
      <c r="V753" s="33">
        <v>200</v>
      </c>
      <c r="W753" s="28">
        <v>64.29</v>
      </c>
      <c r="X753" s="34" t="s">
        <v>54</v>
      </c>
      <c r="Y753" s="33">
        <v>128.58</v>
      </c>
      <c r="AC753" s="28">
        <v>64.29</v>
      </c>
      <c r="AD753" s="34" t="s">
        <v>54</v>
      </c>
      <c r="AE753" s="33">
        <v>128.58</v>
      </c>
      <c r="AN753" s="7" t="s">
        <v>54</v>
      </c>
      <c r="AO753" s="7" t="s">
        <v>55</v>
      </c>
      <c r="AP753" s="7" t="s">
        <v>56</v>
      </c>
      <c r="AT753" s="47" t="s">
        <v>57</v>
      </c>
      <c r="AU753" s="47" t="s">
        <v>57</v>
      </c>
    </row>
    <row r="754" spans="1:47">
      <c r="A754" s="4" t="s">
        <v>48</v>
      </c>
      <c r="C754" s="21"/>
      <c r="D754" s="22" t="s">
        <v>49</v>
      </c>
      <c r="G754" s="23">
        <v>45084</v>
      </c>
      <c r="H754" s="24" t="s">
        <v>2283</v>
      </c>
      <c r="J754" s="28" t="s">
        <v>51</v>
      </c>
      <c r="L754" s="24" t="s">
        <v>2279</v>
      </c>
      <c r="M754" s="1" t="str">
        <f>"341202198109091911"</f>
        <v>341202198109091911</v>
      </c>
      <c r="N754" s="24" t="s">
        <v>2279</v>
      </c>
      <c r="O754" s="1" t="str">
        <f>"341202198109091911"</f>
        <v>341202198109091911</v>
      </c>
      <c r="P754" s="23" t="s">
        <v>2284</v>
      </c>
      <c r="Q754" s="23">
        <v>45085</v>
      </c>
      <c r="R754" s="32">
        <v>45451</v>
      </c>
      <c r="V754" s="33">
        <v>200</v>
      </c>
      <c r="W754" s="28">
        <v>64.29</v>
      </c>
      <c r="X754" s="34" t="s">
        <v>54</v>
      </c>
      <c r="Y754" s="33">
        <v>128.58</v>
      </c>
      <c r="AC754" s="28">
        <v>64.29</v>
      </c>
      <c r="AD754" s="34" t="s">
        <v>54</v>
      </c>
      <c r="AE754" s="33">
        <v>128.58</v>
      </c>
      <c r="AN754" s="7" t="s">
        <v>54</v>
      </c>
      <c r="AO754" s="7" t="s">
        <v>55</v>
      </c>
      <c r="AP754" s="7" t="s">
        <v>56</v>
      </c>
      <c r="AT754" s="47" t="s">
        <v>57</v>
      </c>
      <c r="AU754" s="47" t="s">
        <v>57</v>
      </c>
    </row>
    <row r="755" spans="1:47">
      <c r="A755" s="4" t="s">
        <v>48</v>
      </c>
      <c r="C755" s="21"/>
      <c r="D755" s="22" t="s">
        <v>49</v>
      </c>
      <c r="G755" s="23">
        <v>45082</v>
      </c>
      <c r="H755" s="24" t="s">
        <v>2285</v>
      </c>
      <c r="J755" s="28" t="s">
        <v>51</v>
      </c>
      <c r="L755" s="24" t="s">
        <v>2286</v>
      </c>
      <c r="M755" s="1" t="str">
        <f>"34122419710406212X"</f>
        <v>34122419710406212X</v>
      </c>
      <c r="N755" s="24" t="s">
        <v>2286</v>
      </c>
      <c r="O755" s="1" t="str">
        <f>"34122419710406212X"</f>
        <v>34122419710406212X</v>
      </c>
      <c r="P755" s="23" t="s">
        <v>2287</v>
      </c>
      <c r="Q755" s="23">
        <v>45083</v>
      </c>
      <c r="R755" s="32">
        <v>45449</v>
      </c>
      <c r="V755" s="33">
        <v>200</v>
      </c>
      <c r="W755" s="28">
        <v>64.29</v>
      </c>
      <c r="X755" s="34" t="s">
        <v>54</v>
      </c>
      <c r="Y755" s="33">
        <v>128.58</v>
      </c>
      <c r="AC755" s="28">
        <v>64.29</v>
      </c>
      <c r="AD755" s="34" t="s">
        <v>54</v>
      </c>
      <c r="AE755" s="33">
        <v>128.58</v>
      </c>
      <c r="AN755" s="7" t="s">
        <v>54</v>
      </c>
      <c r="AO755" s="7" t="s">
        <v>55</v>
      </c>
      <c r="AP755" s="7" t="s">
        <v>56</v>
      </c>
      <c r="AT755" s="47" t="s">
        <v>57</v>
      </c>
      <c r="AU755" s="47" t="s">
        <v>57</v>
      </c>
    </row>
    <row r="756" spans="1:47">
      <c r="A756" s="4" t="s">
        <v>48</v>
      </c>
      <c r="C756" s="21"/>
      <c r="D756" s="22" t="s">
        <v>49</v>
      </c>
      <c r="G756" s="23">
        <v>45079</v>
      </c>
      <c r="H756" s="24" t="s">
        <v>2288</v>
      </c>
      <c r="J756" s="28" t="s">
        <v>51</v>
      </c>
      <c r="L756" s="24" t="s">
        <v>2289</v>
      </c>
      <c r="M756" s="1" t="str">
        <f>"132822197508262023"</f>
        <v>132822197508262023</v>
      </c>
      <c r="N756" s="24" t="s">
        <v>2289</v>
      </c>
      <c r="O756" s="1" t="str">
        <f>"132822197508262023"</f>
        <v>132822197508262023</v>
      </c>
      <c r="P756" s="23" t="s">
        <v>2290</v>
      </c>
      <c r="Q756" s="23">
        <v>45290</v>
      </c>
      <c r="R756" s="32">
        <v>45656</v>
      </c>
      <c r="V756" s="33">
        <v>200</v>
      </c>
      <c r="W756" s="28">
        <v>64.29</v>
      </c>
      <c r="X756" s="34" t="s">
        <v>54</v>
      </c>
      <c r="Y756" s="33">
        <v>128.58</v>
      </c>
      <c r="AC756" s="28">
        <v>64.29</v>
      </c>
      <c r="AD756" s="34" t="s">
        <v>54</v>
      </c>
      <c r="AE756" s="33">
        <v>128.58</v>
      </c>
      <c r="AN756" s="7" t="s">
        <v>54</v>
      </c>
      <c r="AO756" s="7" t="s">
        <v>55</v>
      </c>
      <c r="AP756" s="7" t="s">
        <v>56</v>
      </c>
      <c r="AT756" s="47" t="s">
        <v>57</v>
      </c>
      <c r="AU756" s="47" t="s">
        <v>57</v>
      </c>
    </row>
    <row r="757" spans="1:47">
      <c r="A757" s="4" t="s">
        <v>48</v>
      </c>
      <c r="C757" s="21"/>
      <c r="D757" s="22" t="s">
        <v>49</v>
      </c>
      <c r="G757" s="23">
        <v>45100</v>
      </c>
      <c r="H757" s="24" t="s">
        <v>2291</v>
      </c>
      <c r="J757" s="28" t="s">
        <v>51</v>
      </c>
      <c r="L757" s="24" t="s">
        <v>2292</v>
      </c>
      <c r="M757" s="1" t="str">
        <f>"342127198303107510"</f>
        <v>342127198303107510</v>
      </c>
      <c r="N757" s="24" t="s">
        <v>2292</v>
      </c>
      <c r="O757" s="1" t="str">
        <f>"342127198303107510"</f>
        <v>342127198303107510</v>
      </c>
      <c r="P757" s="23" t="s">
        <v>2293</v>
      </c>
      <c r="Q757" s="23">
        <v>45101</v>
      </c>
      <c r="R757" s="32">
        <v>45467</v>
      </c>
      <c r="V757" s="33">
        <v>50</v>
      </c>
      <c r="W757" s="28">
        <v>64.29</v>
      </c>
      <c r="X757" s="34" t="s">
        <v>54</v>
      </c>
      <c r="Y757" s="33">
        <v>32.15</v>
      </c>
      <c r="AC757" s="28">
        <v>64.29</v>
      </c>
      <c r="AD757" s="34" t="s">
        <v>54</v>
      </c>
      <c r="AE757" s="33">
        <v>32.15</v>
      </c>
      <c r="AN757" s="7" t="s">
        <v>54</v>
      </c>
      <c r="AO757" s="7" t="s">
        <v>55</v>
      </c>
      <c r="AP757" s="7" t="s">
        <v>56</v>
      </c>
      <c r="AT757" s="47" t="s">
        <v>57</v>
      </c>
      <c r="AU757" s="47" t="s">
        <v>57</v>
      </c>
    </row>
    <row r="758" spans="1:47">
      <c r="A758" s="4" t="s">
        <v>48</v>
      </c>
      <c r="C758" s="21"/>
      <c r="D758" s="22" t="s">
        <v>49</v>
      </c>
      <c r="G758" s="23">
        <v>45100</v>
      </c>
      <c r="H758" s="24" t="s">
        <v>2294</v>
      </c>
      <c r="J758" s="28" t="s">
        <v>51</v>
      </c>
      <c r="L758" s="24" t="s">
        <v>2295</v>
      </c>
      <c r="M758" s="1" t="str">
        <f>"341202199108140245"</f>
        <v>341202199108140245</v>
      </c>
      <c r="N758" s="24" t="s">
        <v>2295</v>
      </c>
      <c r="O758" s="1" t="str">
        <f>"341202199108140245"</f>
        <v>341202199108140245</v>
      </c>
      <c r="P758" s="23" t="s">
        <v>2296</v>
      </c>
      <c r="Q758" s="23">
        <v>45101</v>
      </c>
      <c r="R758" s="32">
        <v>45467</v>
      </c>
      <c r="V758" s="33">
        <v>50</v>
      </c>
      <c r="W758" s="28">
        <v>64.29</v>
      </c>
      <c r="X758" s="34" t="s">
        <v>54</v>
      </c>
      <c r="Y758" s="33">
        <v>32.15</v>
      </c>
      <c r="AC758" s="28">
        <v>64.29</v>
      </c>
      <c r="AD758" s="34" t="s">
        <v>54</v>
      </c>
      <c r="AE758" s="33">
        <v>32.15</v>
      </c>
      <c r="AN758" s="7" t="s">
        <v>54</v>
      </c>
      <c r="AO758" s="7" t="s">
        <v>55</v>
      </c>
      <c r="AP758" s="7" t="s">
        <v>56</v>
      </c>
      <c r="AT758" s="47" t="s">
        <v>57</v>
      </c>
      <c r="AU758" s="47" t="s">
        <v>57</v>
      </c>
    </row>
    <row r="759" spans="1:47">
      <c r="A759" s="4" t="s">
        <v>48</v>
      </c>
      <c r="C759" s="21"/>
      <c r="D759" s="22" t="s">
        <v>49</v>
      </c>
      <c r="G759" s="23">
        <v>45101</v>
      </c>
      <c r="H759" s="24" t="s">
        <v>2297</v>
      </c>
      <c r="J759" s="28" t="s">
        <v>51</v>
      </c>
      <c r="L759" s="24" t="s">
        <v>2298</v>
      </c>
      <c r="M759" s="1" t="str">
        <f>"150430199509113424"</f>
        <v>150430199509113424</v>
      </c>
      <c r="N759" s="24" t="s">
        <v>2298</v>
      </c>
      <c r="O759" s="1" t="str">
        <f>"150430199509113424"</f>
        <v>150430199509113424</v>
      </c>
      <c r="P759" s="23" t="s">
        <v>2299</v>
      </c>
      <c r="Q759" s="23">
        <v>45102</v>
      </c>
      <c r="R759" s="32">
        <v>45468</v>
      </c>
      <c r="V759" s="33">
        <v>100</v>
      </c>
      <c r="W759" s="28">
        <v>64.29</v>
      </c>
      <c r="X759" s="34" t="s">
        <v>54</v>
      </c>
      <c r="Y759" s="33">
        <v>64.29</v>
      </c>
      <c r="AC759" s="28">
        <v>64.29</v>
      </c>
      <c r="AD759" s="34" t="s">
        <v>54</v>
      </c>
      <c r="AE759" s="33">
        <v>64.29</v>
      </c>
      <c r="AN759" s="7" t="s">
        <v>54</v>
      </c>
      <c r="AO759" s="7" t="s">
        <v>55</v>
      </c>
      <c r="AP759" s="7" t="s">
        <v>56</v>
      </c>
      <c r="AT759" s="47" t="s">
        <v>57</v>
      </c>
      <c r="AU759" s="47" t="s">
        <v>57</v>
      </c>
    </row>
    <row r="760" spans="1:47">
      <c r="A760" s="4" t="s">
        <v>48</v>
      </c>
      <c r="C760" s="21"/>
      <c r="D760" s="22" t="s">
        <v>49</v>
      </c>
      <c r="G760" s="23">
        <v>45101</v>
      </c>
      <c r="H760" s="24" t="s">
        <v>2300</v>
      </c>
      <c r="J760" s="28" t="s">
        <v>51</v>
      </c>
      <c r="L760" s="24" t="s">
        <v>821</v>
      </c>
      <c r="M760" s="1" t="str">
        <f>"341202199703163513"</f>
        <v>341202199703163513</v>
      </c>
      <c r="N760" s="24" t="s">
        <v>821</v>
      </c>
      <c r="O760" s="1" t="str">
        <f>"341202199703163513"</f>
        <v>341202199703163513</v>
      </c>
      <c r="P760" s="23" t="s">
        <v>2301</v>
      </c>
      <c r="Q760" s="23">
        <v>45102</v>
      </c>
      <c r="R760" s="32">
        <v>45468</v>
      </c>
      <c r="V760" s="33">
        <v>100</v>
      </c>
      <c r="W760" s="28">
        <v>64.29</v>
      </c>
      <c r="X760" s="34" t="s">
        <v>54</v>
      </c>
      <c r="Y760" s="33">
        <v>64.29</v>
      </c>
      <c r="AC760" s="28">
        <v>64.29</v>
      </c>
      <c r="AD760" s="34" t="s">
        <v>54</v>
      </c>
      <c r="AE760" s="33">
        <v>64.29</v>
      </c>
      <c r="AN760" s="7" t="s">
        <v>54</v>
      </c>
      <c r="AO760" s="7" t="s">
        <v>55</v>
      </c>
      <c r="AP760" s="7" t="s">
        <v>56</v>
      </c>
      <c r="AT760" s="47" t="s">
        <v>57</v>
      </c>
      <c r="AU760" s="47" t="s">
        <v>57</v>
      </c>
    </row>
    <row r="761" spans="1:47">
      <c r="A761" s="4" t="s">
        <v>48</v>
      </c>
      <c r="C761" s="21"/>
      <c r="D761" s="22" t="s">
        <v>49</v>
      </c>
      <c r="G761" s="23">
        <v>45091</v>
      </c>
      <c r="H761" s="24" t="s">
        <v>2302</v>
      </c>
      <c r="J761" s="28" t="s">
        <v>51</v>
      </c>
      <c r="L761" s="24" t="s">
        <v>2303</v>
      </c>
      <c r="M761" s="1" t="str">
        <f>"230102197101193415"</f>
        <v>230102197101193415</v>
      </c>
      <c r="N761" s="24" t="s">
        <v>2303</v>
      </c>
      <c r="O761" s="1" t="str">
        <f>"230102197101193415"</f>
        <v>230102197101193415</v>
      </c>
      <c r="P761" s="23" t="s">
        <v>2304</v>
      </c>
      <c r="Q761" s="23">
        <v>45092</v>
      </c>
      <c r="R761" s="32">
        <v>45458</v>
      </c>
      <c r="V761" s="33">
        <v>100</v>
      </c>
      <c r="W761" s="28">
        <v>64.29</v>
      </c>
      <c r="X761" s="34" t="s">
        <v>54</v>
      </c>
      <c r="Y761" s="33">
        <v>64.29</v>
      </c>
      <c r="AC761" s="28">
        <v>64.29</v>
      </c>
      <c r="AD761" s="34" t="s">
        <v>54</v>
      </c>
      <c r="AE761" s="33">
        <v>64.29</v>
      </c>
      <c r="AN761" s="7" t="s">
        <v>54</v>
      </c>
      <c r="AO761" s="7" t="s">
        <v>55</v>
      </c>
      <c r="AP761" s="7" t="s">
        <v>56</v>
      </c>
      <c r="AT761" s="47" t="s">
        <v>57</v>
      </c>
      <c r="AU761" s="47" t="s">
        <v>57</v>
      </c>
    </row>
    <row r="762" spans="1:47">
      <c r="A762" s="4" t="s">
        <v>48</v>
      </c>
      <c r="C762" s="21"/>
      <c r="D762" s="22" t="s">
        <v>49</v>
      </c>
      <c r="G762" s="23">
        <v>45092</v>
      </c>
      <c r="H762" s="24" t="s">
        <v>2305</v>
      </c>
      <c r="J762" s="28" t="s">
        <v>51</v>
      </c>
      <c r="L762" s="24" t="s">
        <v>2306</v>
      </c>
      <c r="M762" s="1" t="str">
        <f>"341202198911060215"</f>
        <v>341202198911060215</v>
      </c>
      <c r="N762" s="24" t="s">
        <v>2306</v>
      </c>
      <c r="O762" s="1" t="str">
        <f>"341202198911060215"</f>
        <v>341202198911060215</v>
      </c>
      <c r="P762" s="23" t="s">
        <v>2307</v>
      </c>
      <c r="Q762" s="23">
        <v>45183</v>
      </c>
      <c r="R762" s="32">
        <v>45549</v>
      </c>
      <c r="V762" s="33">
        <v>100</v>
      </c>
      <c r="W762" s="28">
        <v>64.29</v>
      </c>
      <c r="X762" s="34" t="s">
        <v>54</v>
      </c>
      <c r="Y762" s="33">
        <v>64.29</v>
      </c>
      <c r="AC762" s="28">
        <v>64.29</v>
      </c>
      <c r="AD762" s="34" t="s">
        <v>54</v>
      </c>
      <c r="AE762" s="33">
        <v>64.29</v>
      </c>
      <c r="AN762" s="7" t="s">
        <v>54</v>
      </c>
      <c r="AO762" s="7" t="s">
        <v>55</v>
      </c>
      <c r="AP762" s="7" t="s">
        <v>56</v>
      </c>
      <c r="AT762" s="47" t="s">
        <v>57</v>
      </c>
      <c r="AU762" s="47" t="s">
        <v>57</v>
      </c>
    </row>
    <row r="763" spans="1:47">
      <c r="A763" s="4" t="s">
        <v>48</v>
      </c>
      <c r="C763" s="21"/>
      <c r="D763" s="22" t="s">
        <v>49</v>
      </c>
      <c r="G763" s="23">
        <v>45080</v>
      </c>
      <c r="H763" s="24" t="s">
        <v>2308</v>
      </c>
      <c r="J763" s="28" t="s">
        <v>51</v>
      </c>
      <c r="L763" s="24" t="s">
        <v>2309</v>
      </c>
      <c r="M763" s="1" t="str">
        <f>"342101196302091083"</f>
        <v>342101196302091083</v>
      </c>
      <c r="N763" s="24" t="s">
        <v>2309</v>
      </c>
      <c r="O763" s="1" t="str">
        <f>"342101196302091083"</f>
        <v>342101196302091083</v>
      </c>
      <c r="P763" s="23" t="s">
        <v>2310</v>
      </c>
      <c r="Q763" s="23">
        <v>45081</v>
      </c>
      <c r="R763" s="32">
        <v>45447</v>
      </c>
      <c r="V763" s="33">
        <v>100</v>
      </c>
      <c r="W763" s="28">
        <v>64.29</v>
      </c>
      <c r="X763" s="34" t="s">
        <v>54</v>
      </c>
      <c r="Y763" s="33">
        <v>64.29</v>
      </c>
      <c r="AC763" s="28">
        <v>64.29</v>
      </c>
      <c r="AD763" s="34" t="s">
        <v>54</v>
      </c>
      <c r="AE763" s="33">
        <v>64.29</v>
      </c>
      <c r="AN763" s="7" t="s">
        <v>54</v>
      </c>
      <c r="AO763" s="7" t="s">
        <v>55</v>
      </c>
      <c r="AP763" s="7" t="s">
        <v>56</v>
      </c>
      <c r="AT763" s="47" t="s">
        <v>57</v>
      </c>
      <c r="AU763" s="47" t="s">
        <v>57</v>
      </c>
    </row>
    <row r="764" spans="1:47">
      <c r="A764" s="4" t="s">
        <v>48</v>
      </c>
      <c r="C764" s="21"/>
      <c r="D764" s="22" t="s">
        <v>49</v>
      </c>
      <c r="G764" s="23">
        <v>45079</v>
      </c>
      <c r="H764" s="24" t="s">
        <v>2311</v>
      </c>
      <c r="J764" s="28" t="s">
        <v>51</v>
      </c>
      <c r="L764" s="24" t="s">
        <v>2312</v>
      </c>
      <c r="M764" s="1" t="str">
        <f>"341225199208054330"</f>
        <v>341225199208054330</v>
      </c>
      <c r="N764" s="24" t="s">
        <v>2312</v>
      </c>
      <c r="O764" s="1" t="str">
        <f>"341225199208054330"</f>
        <v>341225199208054330</v>
      </c>
      <c r="P764" s="23" t="s">
        <v>2313</v>
      </c>
      <c r="Q764" s="23">
        <v>45140</v>
      </c>
      <c r="R764" s="32">
        <v>45506</v>
      </c>
      <c r="V764" s="33">
        <v>100</v>
      </c>
      <c r="W764" s="28">
        <v>64.29</v>
      </c>
      <c r="X764" s="34" t="s">
        <v>54</v>
      </c>
      <c r="Y764" s="33">
        <v>64.29</v>
      </c>
      <c r="AC764" s="28">
        <v>64.29</v>
      </c>
      <c r="AD764" s="34" t="s">
        <v>54</v>
      </c>
      <c r="AE764" s="33">
        <v>64.29</v>
      </c>
      <c r="AN764" s="7" t="s">
        <v>54</v>
      </c>
      <c r="AO764" s="7" t="s">
        <v>55</v>
      </c>
      <c r="AP764" s="7" t="s">
        <v>56</v>
      </c>
      <c r="AT764" s="47" t="s">
        <v>57</v>
      </c>
      <c r="AU764" s="47" t="s">
        <v>57</v>
      </c>
    </row>
    <row r="765" spans="1:47">
      <c r="A765" s="4" t="s">
        <v>48</v>
      </c>
      <c r="C765" s="21"/>
      <c r="D765" s="22" t="s">
        <v>49</v>
      </c>
      <c r="G765" s="23">
        <v>45079</v>
      </c>
      <c r="H765" s="24" t="s">
        <v>2314</v>
      </c>
      <c r="J765" s="28" t="s">
        <v>51</v>
      </c>
      <c r="L765" s="24" t="s">
        <v>2315</v>
      </c>
      <c r="M765" s="1" t="str">
        <f>"341202195506300517"</f>
        <v>341202195506300517</v>
      </c>
      <c r="N765" s="24" t="s">
        <v>2315</v>
      </c>
      <c r="O765" s="1" t="str">
        <f>"341202195506300517"</f>
        <v>341202195506300517</v>
      </c>
      <c r="P765" s="23" t="s">
        <v>2316</v>
      </c>
      <c r="Q765" s="23">
        <v>45125</v>
      </c>
      <c r="R765" s="32">
        <v>45491</v>
      </c>
      <c r="V765" s="33">
        <v>100</v>
      </c>
      <c r="W765" s="28">
        <v>64.29</v>
      </c>
      <c r="X765" s="34" t="s">
        <v>54</v>
      </c>
      <c r="Y765" s="33">
        <v>64.29</v>
      </c>
      <c r="AC765" s="28">
        <v>64.29</v>
      </c>
      <c r="AD765" s="34" t="s">
        <v>54</v>
      </c>
      <c r="AE765" s="33">
        <v>64.29</v>
      </c>
      <c r="AN765" s="7" t="s">
        <v>54</v>
      </c>
      <c r="AO765" s="7" t="s">
        <v>55</v>
      </c>
      <c r="AP765" s="7" t="s">
        <v>56</v>
      </c>
      <c r="AT765" s="47" t="s">
        <v>57</v>
      </c>
      <c r="AU765" s="47" t="s">
        <v>57</v>
      </c>
    </row>
    <row r="766" spans="1:47">
      <c r="A766" s="4" t="s">
        <v>48</v>
      </c>
      <c r="C766" s="21"/>
      <c r="D766" s="22" t="s">
        <v>49</v>
      </c>
      <c r="G766" s="23">
        <v>45077</v>
      </c>
      <c r="H766" s="24" t="s">
        <v>2317</v>
      </c>
      <c r="J766" s="28" t="s">
        <v>51</v>
      </c>
      <c r="L766" s="24" t="s">
        <v>2318</v>
      </c>
      <c r="M766" s="1" t="str">
        <f>"13108219871030254X"</f>
        <v>13108219871030254X</v>
      </c>
      <c r="N766" s="24" t="s">
        <v>2318</v>
      </c>
      <c r="O766" s="1" t="str">
        <f>"13108219871030254X"</f>
        <v>13108219871030254X</v>
      </c>
      <c r="P766" s="23" t="s">
        <v>2319</v>
      </c>
      <c r="Q766" s="23">
        <v>45078</v>
      </c>
      <c r="R766" s="32">
        <v>45444</v>
      </c>
      <c r="V766" s="33">
        <v>200</v>
      </c>
      <c r="W766" s="28">
        <v>64.29</v>
      </c>
      <c r="X766" s="34" t="s">
        <v>54</v>
      </c>
      <c r="Y766" s="33">
        <v>128.58</v>
      </c>
      <c r="AC766" s="28">
        <v>64.29</v>
      </c>
      <c r="AD766" s="34" t="s">
        <v>54</v>
      </c>
      <c r="AE766" s="33">
        <v>128.58</v>
      </c>
      <c r="AN766" s="7" t="s">
        <v>54</v>
      </c>
      <c r="AO766" s="7" t="s">
        <v>55</v>
      </c>
      <c r="AP766" s="7" t="s">
        <v>56</v>
      </c>
      <c r="AT766" s="47" t="s">
        <v>57</v>
      </c>
      <c r="AU766" s="47" t="s">
        <v>57</v>
      </c>
    </row>
    <row r="767" spans="1:47">
      <c r="A767" s="4" t="s">
        <v>48</v>
      </c>
      <c r="C767" s="21"/>
      <c r="D767" s="22" t="s">
        <v>49</v>
      </c>
      <c r="G767" s="23">
        <v>45079</v>
      </c>
      <c r="H767" s="24" t="s">
        <v>2320</v>
      </c>
      <c r="J767" s="28" t="s">
        <v>51</v>
      </c>
      <c r="L767" s="24" t="s">
        <v>2321</v>
      </c>
      <c r="M767" s="1" t="str">
        <f>"420527197603014362"</f>
        <v>420527197603014362</v>
      </c>
      <c r="N767" s="24" t="s">
        <v>2321</v>
      </c>
      <c r="O767" s="1" t="str">
        <f>"420527197603014362"</f>
        <v>420527197603014362</v>
      </c>
      <c r="P767" s="23" t="s">
        <v>2322</v>
      </c>
      <c r="Q767" s="23">
        <v>45080</v>
      </c>
      <c r="R767" s="32">
        <v>45446</v>
      </c>
      <c r="V767" s="33">
        <v>200</v>
      </c>
      <c r="W767" s="28">
        <v>64.29</v>
      </c>
      <c r="X767" s="34" t="s">
        <v>54</v>
      </c>
      <c r="Y767" s="33">
        <v>128.58</v>
      </c>
      <c r="AC767" s="28">
        <v>64.29</v>
      </c>
      <c r="AD767" s="34" t="s">
        <v>54</v>
      </c>
      <c r="AE767" s="33">
        <v>128.58</v>
      </c>
      <c r="AN767" s="7" t="s">
        <v>54</v>
      </c>
      <c r="AO767" s="7" t="s">
        <v>55</v>
      </c>
      <c r="AP767" s="7" t="s">
        <v>56</v>
      </c>
      <c r="AT767" s="47" t="s">
        <v>57</v>
      </c>
      <c r="AU767" s="47" t="s">
        <v>57</v>
      </c>
    </row>
    <row r="768" spans="1:47">
      <c r="A768" s="4" t="s">
        <v>48</v>
      </c>
      <c r="C768" s="21"/>
      <c r="D768" s="22" t="s">
        <v>49</v>
      </c>
      <c r="G768" s="23">
        <v>45102</v>
      </c>
      <c r="H768" s="24" t="s">
        <v>2323</v>
      </c>
      <c r="J768" s="28" t="s">
        <v>51</v>
      </c>
      <c r="L768" s="24" t="s">
        <v>2324</v>
      </c>
      <c r="M768" s="1" t="str">
        <f>"371481197404023935"</f>
        <v>371481197404023935</v>
      </c>
      <c r="N768" s="24" t="s">
        <v>2324</v>
      </c>
      <c r="O768" s="1" t="str">
        <f>"371481197404023935"</f>
        <v>371481197404023935</v>
      </c>
      <c r="P768" s="23" t="s">
        <v>2325</v>
      </c>
      <c r="Q768" s="23">
        <v>45103</v>
      </c>
      <c r="R768" s="32">
        <v>45469</v>
      </c>
      <c r="V768" s="33">
        <v>50</v>
      </c>
      <c r="W768" s="28">
        <v>64.29</v>
      </c>
      <c r="X768" s="34" t="s">
        <v>54</v>
      </c>
      <c r="Y768" s="33">
        <v>32.15</v>
      </c>
      <c r="AC768" s="28">
        <v>64.29</v>
      </c>
      <c r="AD768" s="34" t="s">
        <v>54</v>
      </c>
      <c r="AE768" s="33">
        <v>32.15</v>
      </c>
      <c r="AN768" s="7" t="s">
        <v>54</v>
      </c>
      <c r="AO768" s="7" t="s">
        <v>55</v>
      </c>
      <c r="AP768" s="7" t="s">
        <v>56</v>
      </c>
      <c r="AT768" s="47" t="s">
        <v>57</v>
      </c>
      <c r="AU768" s="47" t="s">
        <v>57</v>
      </c>
    </row>
    <row r="769" spans="1:47">
      <c r="A769" s="4" t="s">
        <v>48</v>
      </c>
      <c r="C769" s="21"/>
      <c r="D769" s="22" t="s">
        <v>49</v>
      </c>
      <c r="G769" s="23">
        <v>45102</v>
      </c>
      <c r="H769" s="24" t="s">
        <v>2326</v>
      </c>
      <c r="J769" s="28" t="s">
        <v>51</v>
      </c>
      <c r="L769" s="24" t="s">
        <v>2327</v>
      </c>
      <c r="M769" s="1" t="str">
        <f>"342125198005230219"</f>
        <v>342125198005230219</v>
      </c>
      <c r="N769" s="24" t="s">
        <v>2327</v>
      </c>
      <c r="O769" s="1" t="str">
        <f>"342125198005230219"</f>
        <v>342125198005230219</v>
      </c>
      <c r="P769" s="23" t="s">
        <v>2328</v>
      </c>
      <c r="Q769" s="23">
        <v>45103</v>
      </c>
      <c r="R769" s="32">
        <v>45469</v>
      </c>
      <c r="V769" s="33">
        <v>50</v>
      </c>
      <c r="W769" s="28">
        <v>64.29</v>
      </c>
      <c r="X769" s="34" t="s">
        <v>54</v>
      </c>
      <c r="Y769" s="33">
        <v>32.15</v>
      </c>
      <c r="AC769" s="28">
        <v>64.29</v>
      </c>
      <c r="AD769" s="34" t="s">
        <v>54</v>
      </c>
      <c r="AE769" s="33">
        <v>32.15</v>
      </c>
      <c r="AN769" s="7" t="s">
        <v>54</v>
      </c>
      <c r="AO769" s="7" t="s">
        <v>55</v>
      </c>
      <c r="AP769" s="7" t="s">
        <v>56</v>
      </c>
      <c r="AT769" s="47" t="s">
        <v>57</v>
      </c>
      <c r="AU769" s="47" t="s">
        <v>57</v>
      </c>
    </row>
    <row r="770" spans="1:47">
      <c r="A770" s="4" t="s">
        <v>48</v>
      </c>
      <c r="C770" s="21"/>
      <c r="D770" s="22" t="s">
        <v>49</v>
      </c>
      <c r="G770" s="23">
        <v>45098</v>
      </c>
      <c r="H770" s="24" t="s">
        <v>2329</v>
      </c>
      <c r="J770" s="28" t="s">
        <v>51</v>
      </c>
      <c r="L770" s="24" t="s">
        <v>2330</v>
      </c>
      <c r="M770" s="1" t="str">
        <f>"34212119670720001X"</f>
        <v>34212119670720001X</v>
      </c>
      <c r="N770" s="24" t="s">
        <v>2330</v>
      </c>
      <c r="O770" s="1" t="str">
        <f>"34212119670720001X"</f>
        <v>34212119670720001X</v>
      </c>
      <c r="P770" s="23" t="s">
        <v>2331</v>
      </c>
      <c r="Q770" s="23">
        <v>45099</v>
      </c>
      <c r="R770" s="32">
        <v>45465</v>
      </c>
      <c r="V770" s="33">
        <v>50</v>
      </c>
      <c r="W770" s="28">
        <v>64.29</v>
      </c>
      <c r="X770" s="34" t="s">
        <v>54</v>
      </c>
      <c r="Y770" s="33">
        <v>32.15</v>
      </c>
      <c r="AC770" s="28">
        <v>64.29</v>
      </c>
      <c r="AD770" s="34" t="s">
        <v>54</v>
      </c>
      <c r="AE770" s="33">
        <v>32.15</v>
      </c>
      <c r="AN770" s="7" t="s">
        <v>54</v>
      </c>
      <c r="AO770" s="7" t="s">
        <v>55</v>
      </c>
      <c r="AP770" s="7" t="s">
        <v>56</v>
      </c>
      <c r="AT770" s="47" t="s">
        <v>57</v>
      </c>
      <c r="AU770" s="47" t="s">
        <v>57</v>
      </c>
    </row>
    <row r="771" spans="1:47">
      <c r="A771" s="4" t="s">
        <v>48</v>
      </c>
      <c r="C771" s="21"/>
      <c r="D771" s="22" t="s">
        <v>49</v>
      </c>
      <c r="G771" s="23">
        <v>45097</v>
      </c>
      <c r="H771" s="24" t="s">
        <v>2332</v>
      </c>
      <c r="J771" s="28" t="s">
        <v>51</v>
      </c>
      <c r="L771" s="24" t="s">
        <v>2333</v>
      </c>
      <c r="M771" s="1" t="str">
        <f>"341204197810241285"</f>
        <v>341204197810241285</v>
      </c>
      <c r="N771" s="24" t="s">
        <v>2333</v>
      </c>
      <c r="O771" s="1" t="str">
        <f>"341204197810241285"</f>
        <v>341204197810241285</v>
      </c>
      <c r="P771" s="23" t="s">
        <v>2334</v>
      </c>
      <c r="Q771" s="23">
        <v>45098</v>
      </c>
      <c r="R771" s="32">
        <v>45464</v>
      </c>
      <c r="V771" s="33">
        <v>50</v>
      </c>
      <c r="W771" s="28">
        <v>64.29</v>
      </c>
      <c r="X771" s="34" t="s">
        <v>54</v>
      </c>
      <c r="Y771" s="33">
        <v>32.15</v>
      </c>
      <c r="AC771" s="28">
        <v>64.29</v>
      </c>
      <c r="AD771" s="34" t="s">
        <v>54</v>
      </c>
      <c r="AE771" s="33">
        <v>32.15</v>
      </c>
      <c r="AN771" s="7" t="s">
        <v>54</v>
      </c>
      <c r="AO771" s="7" t="s">
        <v>55</v>
      </c>
      <c r="AP771" s="7" t="s">
        <v>56</v>
      </c>
      <c r="AT771" s="47" t="s">
        <v>57</v>
      </c>
      <c r="AU771" s="47" t="s">
        <v>57</v>
      </c>
    </row>
    <row r="772" spans="1:47">
      <c r="A772" s="4" t="s">
        <v>48</v>
      </c>
      <c r="C772" s="21"/>
      <c r="D772" s="22" t="s">
        <v>49</v>
      </c>
      <c r="G772" s="23">
        <v>45102</v>
      </c>
      <c r="H772" s="24" t="s">
        <v>2335</v>
      </c>
      <c r="J772" s="28" t="s">
        <v>51</v>
      </c>
      <c r="L772" s="24" t="s">
        <v>2336</v>
      </c>
      <c r="M772" s="1" t="str">
        <f>"220303198002152837"</f>
        <v>220303198002152837</v>
      </c>
      <c r="N772" s="24" t="s">
        <v>2336</v>
      </c>
      <c r="O772" s="1" t="str">
        <f>"220303198002152837"</f>
        <v>220303198002152837</v>
      </c>
      <c r="P772" s="23" t="s">
        <v>2337</v>
      </c>
      <c r="Q772" s="23">
        <v>45103</v>
      </c>
      <c r="R772" s="32">
        <v>45469</v>
      </c>
      <c r="V772" s="33">
        <v>100</v>
      </c>
      <c r="W772" s="28">
        <v>64.29</v>
      </c>
      <c r="X772" s="34" t="s">
        <v>54</v>
      </c>
      <c r="Y772" s="33">
        <v>64.29</v>
      </c>
      <c r="AC772" s="28">
        <v>64.29</v>
      </c>
      <c r="AD772" s="34" t="s">
        <v>54</v>
      </c>
      <c r="AE772" s="33">
        <v>64.29</v>
      </c>
      <c r="AN772" s="7" t="s">
        <v>54</v>
      </c>
      <c r="AO772" s="7" t="s">
        <v>55</v>
      </c>
      <c r="AP772" s="7" t="s">
        <v>56</v>
      </c>
      <c r="AT772" s="47" t="s">
        <v>57</v>
      </c>
      <c r="AU772" s="47" t="s">
        <v>57</v>
      </c>
    </row>
    <row r="773" spans="1:47">
      <c r="A773" s="4" t="s">
        <v>48</v>
      </c>
      <c r="C773" s="21"/>
      <c r="D773" s="22" t="s">
        <v>49</v>
      </c>
      <c r="G773" s="23">
        <v>45102</v>
      </c>
      <c r="H773" s="24" t="s">
        <v>2338</v>
      </c>
      <c r="J773" s="28" t="s">
        <v>51</v>
      </c>
      <c r="L773" s="24" t="s">
        <v>2339</v>
      </c>
      <c r="M773" s="1" t="str">
        <f>"230229198308210315"</f>
        <v>230229198308210315</v>
      </c>
      <c r="N773" s="24" t="s">
        <v>2339</v>
      </c>
      <c r="O773" s="1" t="str">
        <f>"230229198308210315"</f>
        <v>230229198308210315</v>
      </c>
      <c r="P773" s="23" t="s">
        <v>2340</v>
      </c>
      <c r="Q773" s="23">
        <v>45103</v>
      </c>
      <c r="R773" s="32">
        <v>45469</v>
      </c>
      <c r="V773" s="33">
        <v>100</v>
      </c>
      <c r="W773" s="28">
        <v>64.29</v>
      </c>
      <c r="X773" s="34" t="s">
        <v>54</v>
      </c>
      <c r="Y773" s="33">
        <v>64.29</v>
      </c>
      <c r="AC773" s="28">
        <v>64.29</v>
      </c>
      <c r="AD773" s="34" t="s">
        <v>54</v>
      </c>
      <c r="AE773" s="33">
        <v>64.29</v>
      </c>
      <c r="AN773" s="7" t="s">
        <v>54</v>
      </c>
      <c r="AO773" s="7" t="s">
        <v>55</v>
      </c>
      <c r="AP773" s="7" t="s">
        <v>56</v>
      </c>
      <c r="AT773" s="47" t="s">
        <v>57</v>
      </c>
      <c r="AU773" s="47" t="s">
        <v>57</v>
      </c>
    </row>
    <row r="774" spans="1:47">
      <c r="A774" s="4" t="s">
        <v>48</v>
      </c>
      <c r="C774" s="21"/>
      <c r="D774" s="22" t="s">
        <v>49</v>
      </c>
      <c r="G774" s="23">
        <v>45099</v>
      </c>
      <c r="H774" s="24" t="s">
        <v>2341</v>
      </c>
      <c r="J774" s="28" t="s">
        <v>51</v>
      </c>
      <c r="L774" s="24" t="s">
        <v>2342</v>
      </c>
      <c r="M774" s="1" t="str">
        <f>"341202196703161768"</f>
        <v>341202196703161768</v>
      </c>
      <c r="N774" s="24" t="s">
        <v>2342</v>
      </c>
      <c r="O774" s="1" t="str">
        <f>"341202196703161768"</f>
        <v>341202196703161768</v>
      </c>
      <c r="P774" s="23" t="s">
        <v>2343</v>
      </c>
      <c r="Q774" s="23">
        <v>45100</v>
      </c>
      <c r="R774" s="32">
        <v>45466</v>
      </c>
      <c r="V774" s="33">
        <v>100</v>
      </c>
      <c r="W774" s="28">
        <v>64.29</v>
      </c>
      <c r="X774" s="34" t="s">
        <v>54</v>
      </c>
      <c r="Y774" s="33">
        <v>64.29</v>
      </c>
      <c r="AC774" s="28">
        <v>64.29</v>
      </c>
      <c r="AD774" s="34" t="s">
        <v>54</v>
      </c>
      <c r="AE774" s="33">
        <v>64.29</v>
      </c>
      <c r="AN774" s="7" t="s">
        <v>54</v>
      </c>
      <c r="AO774" s="7" t="s">
        <v>55</v>
      </c>
      <c r="AP774" s="7" t="s">
        <v>56</v>
      </c>
      <c r="AT774" s="47" t="s">
        <v>57</v>
      </c>
      <c r="AU774" s="47" t="s">
        <v>57</v>
      </c>
    </row>
    <row r="775" spans="1:47">
      <c r="A775" s="4" t="s">
        <v>48</v>
      </c>
      <c r="C775" s="21"/>
      <c r="D775" s="22" t="s">
        <v>49</v>
      </c>
      <c r="G775" s="23">
        <v>45102</v>
      </c>
      <c r="H775" s="24" t="s">
        <v>2344</v>
      </c>
      <c r="J775" s="28" t="s">
        <v>51</v>
      </c>
      <c r="L775" s="24" t="s">
        <v>2345</v>
      </c>
      <c r="M775" s="1" t="str">
        <f>"342101197211071313"</f>
        <v>342101197211071313</v>
      </c>
      <c r="N775" s="24" t="s">
        <v>2345</v>
      </c>
      <c r="O775" s="1" t="str">
        <f>"342101197211071313"</f>
        <v>342101197211071313</v>
      </c>
      <c r="P775" s="23" t="s">
        <v>2346</v>
      </c>
      <c r="Q775" s="23">
        <v>45103</v>
      </c>
      <c r="R775" s="32">
        <v>45469</v>
      </c>
      <c r="V775" s="33">
        <v>100</v>
      </c>
      <c r="W775" s="28">
        <v>64.29</v>
      </c>
      <c r="X775" s="34" t="s">
        <v>54</v>
      </c>
      <c r="Y775" s="33">
        <v>64.29</v>
      </c>
      <c r="AC775" s="28">
        <v>64.29</v>
      </c>
      <c r="AD775" s="34" t="s">
        <v>54</v>
      </c>
      <c r="AE775" s="33">
        <v>64.29</v>
      </c>
      <c r="AN775" s="7" t="s">
        <v>54</v>
      </c>
      <c r="AO775" s="7" t="s">
        <v>55</v>
      </c>
      <c r="AP775" s="7" t="s">
        <v>56</v>
      </c>
      <c r="AT775" s="47" t="s">
        <v>57</v>
      </c>
      <c r="AU775" s="47" t="s">
        <v>57</v>
      </c>
    </row>
    <row r="776" spans="1:47">
      <c r="A776" s="4" t="s">
        <v>48</v>
      </c>
      <c r="C776" s="21"/>
      <c r="D776" s="22" t="s">
        <v>49</v>
      </c>
      <c r="G776" s="23">
        <v>45089</v>
      </c>
      <c r="H776" s="24" t="s">
        <v>2347</v>
      </c>
      <c r="J776" s="28" t="s">
        <v>51</v>
      </c>
      <c r="L776" s="24" t="s">
        <v>2348</v>
      </c>
      <c r="M776" s="1" t="str">
        <f>"413026197912032131"</f>
        <v>413026197912032131</v>
      </c>
      <c r="N776" s="24" t="s">
        <v>2348</v>
      </c>
      <c r="O776" s="1" t="str">
        <f>"413026197912032131"</f>
        <v>413026197912032131</v>
      </c>
      <c r="P776" s="23" t="s">
        <v>2349</v>
      </c>
      <c r="Q776" s="23">
        <v>45212</v>
      </c>
      <c r="R776" s="32">
        <v>45578</v>
      </c>
      <c r="V776" s="33">
        <v>100</v>
      </c>
      <c r="W776" s="28">
        <v>64.29</v>
      </c>
      <c r="X776" s="34" t="s">
        <v>54</v>
      </c>
      <c r="Y776" s="33">
        <v>64.29</v>
      </c>
      <c r="AC776" s="28">
        <v>64.29</v>
      </c>
      <c r="AD776" s="34" t="s">
        <v>54</v>
      </c>
      <c r="AE776" s="33">
        <v>64.29</v>
      </c>
      <c r="AN776" s="7" t="s">
        <v>54</v>
      </c>
      <c r="AO776" s="7" t="s">
        <v>55</v>
      </c>
      <c r="AP776" s="7" t="s">
        <v>56</v>
      </c>
      <c r="AT776" s="47" t="s">
        <v>57</v>
      </c>
      <c r="AU776" s="47" t="s">
        <v>57</v>
      </c>
    </row>
    <row r="777" spans="1:47">
      <c r="A777" s="4" t="s">
        <v>48</v>
      </c>
      <c r="C777" s="21"/>
      <c r="D777" s="22" t="s">
        <v>49</v>
      </c>
      <c r="G777" s="23">
        <v>45089</v>
      </c>
      <c r="H777" s="24" t="s">
        <v>2350</v>
      </c>
      <c r="J777" s="28" t="s">
        <v>51</v>
      </c>
      <c r="L777" s="24" t="s">
        <v>2351</v>
      </c>
      <c r="M777" s="1" t="str">
        <f>"341227199109097127"</f>
        <v>341227199109097127</v>
      </c>
      <c r="N777" s="24" t="s">
        <v>2351</v>
      </c>
      <c r="O777" s="1" t="str">
        <f>"341227199109097127"</f>
        <v>341227199109097127</v>
      </c>
      <c r="P777" s="23" t="s">
        <v>2352</v>
      </c>
      <c r="Q777" s="23">
        <v>45261</v>
      </c>
      <c r="R777" s="32">
        <v>45627</v>
      </c>
      <c r="V777" s="33">
        <v>100</v>
      </c>
      <c r="W777" s="28">
        <v>64.29</v>
      </c>
      <c r="X777" s="34" t="s">
        <v>54</v>
      </c>
      <c r="Y777" s="33">
        <v>64.29</v>
      </c>
      <c r="AC777" s="28">
        <v>64.29</v>
      </c>
      <c r="AD777" s="34" t="s">
        <v>54</v>
      </c>
      <c r="AE777" s="33">
        <v>64.29</v>
      </c>
      <c r="AN777" s="7" t="s">
        <v>54</v>
      </c>
      <c r="AO777" s="7" t="s">
        <v>55</v>
      </c>
      <c r="AP777" s="7" t="s">
        <v>56</v>
      </c>
      <c r="AT777" s="47" t="s">
        <v>57</v>
      </c>
      <c r="AU777" s="47" t="s">
        <v>57</v>
      </c>
    </row>
    <row r="778" spans="1:47">
      <c r="A778" s="4" t="s">
        <v>48</v>
      </c>
      <c r="C778" s="21"/>
      <c r="D778" s="22" t="s">
        <v>49</v>
      </c>
      <c r="G778" s="23">
        <v>45090</v>
      </c>
      <c r="H778" s="24" t="s">
        <v>2353</v>
      </c>
      <c r="J778" s="28" t="s">
        <v>51</v>
      </c>
      <c r="L778" s="24" t="s">
        <v>2354</v>
      </c>
      <c r="M778" s="1" t="str">
        <f>"132823196612270041"</f>
        <v>132823196612270041</v>
      </c>
      <c r="N778" s="24" t="s">
        <v>2354</v>
      </c>
      <c r="O778" s="1" t="str">
        <f>"132823196612270041"</f>
        <v>132823196612270041</v>
      </c>
      <c r="P778" s="23" t="s">
        <v>2355</v>
      </c>
      <c r="Q778" s="23">
        <v>45091</v>
      </c>
      <c r="R778" s="32">
        <v>45457</v>
      </c>
      <c r="V778" s="33">
        <v>100</v>
      </c>
      <c r="W778" s="28">
        <v>64.29</v>
      </c>
      <c r="X778" s="34" t="s">
        <v>54</v>
      </c>
      <c r="Y778" s="33">
        <v>64.29</v>
      </c>
      <c r="AC778" s="28">
        <v>64.29</v>
      </c>
      <c r="AD778" s="34" t="s">
        <v>54</v>
      </c>
      <c r="AE778" s="33">
        <v>64.29</v>
      </c>
      <c r="AN778" s="7" t="s">
        <v>54</v>
      </c>
      <c r="AO778" s="7" t="s">
        <v>55</v>
      </c>
      <c r="AP778" s="7" t="s">
        <v>56</v>
      </c>
      <c r="AT778" s="47" t="s">
        <v>57</v>
      </c>
      <c r="AU778" s="47" t="s">
        <v>57</v>
      </c>
    </row>
    <row r="779" spans="1:47">
      <c r="A779" s="4" t="s">
        <v>48</v>
      </c>
      <c r="C779" s="21"/>
      <c r="D779" s="22" t="s">
        <v>49</v>
      </c>
      <c r="G779" s="23">
        <v>45090</v>
      </c>
      <c r="H779" s="24" t="s">
        <v>2356</v>
      </c>
      <c r="J779" s="28" t="s">
        <v>51</v>
      </c>
      <c r="L779" s="24" t="s">
        <v>2357</v>
      </c>
      <c r="M779" s="1" t="str">
        <f>"612732198010182524"</f>
        <v>612732198010182524</v>
      </c>
      <c r="N779" s="24" t="s">
        <v>2357</v>
      </c>
      <c r="O779" s="1" t="str">
        <f>"612732198010182524"</f>
        <v>612732198010182524</v>
      </c>
      <c r="P779" s="23" t="s">
        <v>2358</v>
      </c>
      <c r="Q779" s="23">
        <v>45091</v>
      </c>
      <c r="R779" s="32">
        <v>45457</v>
      </c>
      <c r="V779" s="33">
        <v>100</v>
      </c>
      <c r="W779" s="28">
        <v>64.29</v>
      </c>
      <c r="X779" s="34" t="s">
        <v>54</v>
      </c>
      <c r="Y779" s="33">
        <v>64.29</v>
      </c>
      <c r="AC779" s="28">
        <v>64.29</v>
      </c>
      <c r="AD779" s="34" t="s">
        <v>54</v>
      </c>
      <c r="AE779" s="33">
        <v>64.29</v>
      </c>
      <c r="AN779" s="7" t="s">
        <v>54</v>
      </c>
      <c r="AO779" s="7" t="s">
        <v>55</v>
      </c>
      <c r="AP779" s="7" t="s">
        <v>56</v>
      </c>
      <c r="AT779" s="47" t="s">
        <v>57</v>
      </c>
      <c r="AU779" s="47" t="s">
        <v>57</v>
      </c>
    </row>
    <row r="780" spans="1:47">
      <c r="A780" s="4" t="s">
        <v>48</v>
      </c>
      <c r="C780" s="21"/>
      <c r="D780" s="22" t="s">
        <v>49</v>
      </c>
      <c r="G780" s="23">
        <v>45078</v>
      </c>
      <c r="H780" s="24" t="s">
        <v>2359</v>
      </c>
      <c r="J780" s="28" t="s">
        <v>51</v>
      </c>
      <c r="L780" s="24" t="s">
        <v>2360</v>
      </c>
      <c r="M780" s="1" t="str">
        <f>"131024198605300063"</f>
        <v>131024198605300063</v>
      </c>
      <c r="N780" s="24" t="s">
        <v>2360</v>
      </c>
      <c r="O780" s="1" t="str">
        <f>"131024198605300063"</f>
        <v>131024198605300063</v>
      </c>
      <c r="P780" s="23" t="s">
        <v>2361</v>
      </c>
      <c r="Q780" s="23">
        <v>45092</v>
      </c>
      <c r="R780" s="32">
        <v>45458</v>
      </c>
      <c r="V780" s="33">
        <v>100</v>
      </c>
      <c r="W780" s="28">
        <v>64.29</v>
      </c>
      <c r="X780" s="34" t="s">
        <v>54</v>
      </c>
      <c r="Y780" s="33">
        <v>64.29</v>
      </c>
      <c r="AC780" s="28">
        <v>64.29</v>
      </c>
      <c r="AD780" s="34" t="s">
        <v>54</v>
      </c>
      <c r="AE780" s="33">
        <v>64.29</v>
      </c>
      <c r="AN780" s="7" t="s">
        <v>54</v>
      </c>
      <c r="AO780" s="7" t="s">
        <v>55</v>
      </c>
      <c r="AP780" s="7" t="s">
        <v>56</v>
      </c>
      <c r="AT780" s="47" t="s">
        <v>57</v>
      </c>
      <c r="AU780" s="47" t="s">
        <v>57</v>
      </c>
    </row>
    <row r="781" spans="1:47">
      <c r="A781" s="4" t="s">
        <v>48</v>
      </c>
      <c r="C781" s="21"/>
      <c r="D781" s="22" t="s">
        <v>49</v>
      </c>
      <c r="G781" s="23">
        <v>45077</v>
      </c>
      <c r="H781" s="24" t="s">
        <v>2362</v>
      </c>
      <c r="J781" s="28" t="s">
        <v>51</v>
      </c>
      <c r="L781" s="24" t="s">
        <v>2363</v>
      </c>
      <c r="M781" s="1" t="str">
        <f>"231025197505213718"</f>
        <v>231025197505213718</v>
      </c>
      <c r="N781" s="24" t="s">
        <v>2363</v>
      </c>
      <c r="O781" s="1" t="str">
        <f>"231025197505213718"</f>
        <v>231025197505213718</v>
      </c>
      <c r="P781" s="23" t="s">
        <v>2364</v>
      </c>
      <c r="Q781" s="23">
        <v>45170</v>
      </c>
      <c r="R781" s="32">
        <v>45536</v>
      </c>
      <c r="V781" s="33">
        <v>100</v>
      </c>
      <c r="W781" s="28">
        <v>64.29</v>
      </c>
      <c r="X781" s="34" t="s">
        <v>54</v>
      </c>
      <c r="Y781" s="33">
        <v>64.29</v>
      </c>
      <c r="AC781" s="28">
        <v>64.29</v>
      </c>
      <c r="AD781" s="34" t="s">
        <v>54</v>
      </c>
      <c r="AE781" s="33">
        <v>64.29</v>
      </c>
      <c r="AN781" s="7" t="s">
        <v>54</v>
      </c>
      <c r="AO781" s="7" t="s">
        <v>55</v>
      </c>
      <c r="AP781" s="7" t="s">
        <v>56</v>
      </c>
      <c r="AT781" s="47" t="s">
        <v>57</v>
      </c>
      <c r="AU781" s="47" t="s">
        <v>57</v>
      </c>
    </row>
    <row r="782" spans="1:47">
      <c r="A782" s="4" t="s">
        <v>48</v>
      </c>
      <c r="C782" s="21"/>
      <c r="D782" s="22" t="s">
        <v>49</v>
      </c>
      <c r="G782" s="23">
        <v>45078</v>
      </c>
      <c r="H782" s="24" t="s">
        <v>2365</v>
      </c>
      <c r="J782" s="28" t="s">
        <v>51</v>
      </c>
      <c r="L782" s="24" t="s">
        <v>2366</v>
      </c>
      <c r="M782" s="1" t="str">
        <f>"131024199508152016"</f>
        <v>131024199508152016</v>
      </c>
      <c r="N782" s="24" t="s">
        <v>2366</v>
      </c>
      <c r="O782" s="1" t="str">
        <f>"131024199508152016"</f>
        <v>131024199508152016</v>
      </c>
      <c r="P782" s="23" t="s">
        <v>2367</v>
      </c>
      <c r="Q782" s="23">
        <v>45170</v>
      </c>
      <c r="R782" s="32">
        <v>45536</v>
      </c>
      <c r="V782" s="33">
        <v>100</v>
      </c>
      <c r="W782" s="28">
        <v>64.29</v>
      </c>
      <c r="X782" s="34" t="s">
        <v>54</v>
      </c>
      <c r="Y782" s="33">
        <v>64.29</v>
      </c>
      <c r="AC782" s="28">
        <v>64.29</v>
      </c>
      <c r="AD782" s="34" t="s">
        <v>54</v>
      </c>
      <c r="AE782" s="33">
        <v>64.29</v>
      </c>
      <c r="AN782" s="7" t="s">
        <v>54</v>
      </c>
      <c r="AO782" s="7" t="s">
        <v>55</v>
      </c>
      <c r="AP782" s="7" t="s">
        <v>56</v>
      </c>
      <c r="AT782" s="47" t="s">
        <v>57</v>
      </c>
      <c r="AU782" s="47" t="s">
        <v>57</v>
      </c>
    </row>
    <row r="783" spans="1:47">
      <c r="A783" s="4" t="s">
        <v>48</v>
      </c>
      <c r="C783" s="21"/>
      <c r="D783" s="22" t="s">
        <v>49</v>
      </c>
      <c r="G783" s="23">
        <v>45078</v>
      </c>
      <c r="H783" s="24" t="s">
        <v>2368</v>
      </c>
      <c r="J783" s="28" t="s">
        <v>51</v>
      </c>
      <c r="L783" s="24" t="s">
        <v>2369</v>
      </c>
      <c r="M783" s="1" t="str">
        <f>"341225197702102749"</f>
        <v>341225197702102749</v>
      </c>
      <c r="N783" s="24" t="s">
        <v>2369</v>
      </c>
      <c r="O783" s="1" t="str">
        <f>"341225197702102749"</f>
        <v>341225197702102749</v>
      </c>
      <c r="P783" s="23" t="s">
        <v>2370</v>
      </c>
      <c r="Q783" s="23">
        <v>45139</v>
      </c>
      <c r="R783" s="32">
        <v>45505</v>
      </c>
      <c r="V783" s="33">
        <v>100</v>
      </c>
      <c r="W783" s="28">
        <v>64.29</v>
      </c>
      <c r="X783" s="34" t="s">
        <v>54</v>
      </c>
      <c r="Y783" s="33">
        <v>64.29</v>
      </c>
      <c r="AC783" s="28">
        <v>64.29</v>
      </c>
      <c r="AD783" s="34" t="s">
        <v>54</v>
      </c>
      <c r="AE783" s="33">
        <v>64.29</v>
      </c>
      <c r="AN783" s="7" t="s">
        <v>54</v>
      </c>
      <c r="AO783" s="7" t="s">
        <v>55</v>
      </c>
      <c r="AP783" s="7" t="s">
        <v>56</v>
      </c>
      <c r="AT783" s="47" t="s">
        <v>57</v>
      </c>
      <c r="AU783" s="47" t="s">
        <v>57</v>
      </c>
    </row>
    <row r="784" spans="1:47">
      <c r="A784" s="4" t="s">
        <v>48</v>
      </c>
      <c r="C784" s="21"/>
      <c r="D784" s="22" t="s">
        <v>49</v>
      </c>
      <c r="G784" s="23">
        <v>45077</v>
      </c>
      <c r="H784" s="24" t="s">
        <v>2371</v>
      </c>
      <c r="J784" s="28" t="s">
        <v>51</v>
      </c>
      <c r="L784" s="24" t="s">
        <v>2372</v>
      </c>
      <c r="M784" s="1" t="str">
        <f>"372431197401114425"</f>
        <v>372431197401114425</v>
      </c>
      <c r="N784" s="24" t="s">
        <v>2372</v>
      </c>
      <c r="O784" s="1" t="str">
        <f>"372431197401114425"</f>
        <v>372431197401114425</v>
      </c>
      <c r="P784" s="23" t="s">
        <v>2373</v>
      </c>
      <c r="Q784" s="23">
        <v>45139</v>
      </c>
      <c r="R784" s="32">
        <v>45505</v>
      </c>
      <c r="V784" s="33">
        <v>100</v>
      </c>
      <c r="W784" s="28">
        <v>64.29</v>
      </c>
      <c r="X784" s="34" t="s">
        <v>54</v>
      </c>
      <c r="Y784" s="33">
        <v>64.29</v>
      </c>
      <c r="AC784" s="28">
        <v>64.29</v>
      </c>
      <c r="AD784" s="34" t="s">
        <v>54</v>
      </c>
      <c r="AE784" s="33">
        <v>64.29</v>
      </c>
      <c r="AN784" s="7" t="s">
        <v>54</v>
      </c>
      <c r="AO784" s="7" t="s">
        <v>55</v>
      </c>
      <c r="AP784" s="7" t="s">
        <v>56</v>
      </c>
      <c r="AT784" s="47" t="s">
        <v>57</v>
      </c>
      <c r="AU784" s="47" t="s">
        <v>57</v>
      </c>
    </row>
    <row r="785" spans="1:47">
      <c r="A785" s="4" t="s">
        <v>48</v>
      </c>
      <c r="C785" s="21"/>
      <c r="D785" s="22" t="s">
        <v>49</v>
      </c>
      <c r="G785" s="23">
        <v>45078</v>
      </c>
      <c r="H785" s="24" t="s">
        <v>2374</v>
      </c>
      <c r="J785" s="28" t="s">
        <v>51</v>
      </c>
      <c r="L785" s="24" t="s">
        <v>2375</v>
      </c>
      <c r="M785" s="1" t="str">
        <f>"132823196506076317"</f>
        <v>132823196506076317</v>
      </c>
      <c r="N785" s="24" t="s">
        <v>2375</v>
      </c>
      <c r="O785" s="1" t="str">
        <f>"132823196506076317"</f>
        <v>132823196506076317</v>
      </c>
      <c r="P785" s="23" t="s">
        <v>2376</v>
      </c>
      <c r="Q785" s="23">
        <v>45079</v>
      </c>
      <c r="R785" s="32">
        <v>45445</v>
      </c>
      <c r="V785" s="33">
        <v>100</v>
      </c>
      <c r="W785" s="28">
        <v>64.29</v>
      </c>
      <c r="X785" s="34" t="s">
        <v>54</v>
      </c>
      <c r="Y785" s="33">
        <v>64.29</v>
      </c>
      <c r="AC785" s="28">
        <v>64.29</v>
      </c>
      <c r="AD785" s="34" t="s">
        <v>54</v>
      </c>
      <c r="AE785" s="33">
        <v>64.29</v>
      </c>
      <c r="AN785" s="7" t="s">
        <v>54</v>
      </c>
      <c r="AO785" s="7" t="s">
        <v>55</v>
      </c>
      <c r="AP785" s="7" t="s">
        <v>56</v>
      </c>
      <c r="AT785" s="47" t="s">
        <v>57</v>
      </c>
      <c r="AU785" s="47" t="s">
        <v>57</v>
      </c>
    </row>
    <row r="786" spans="1:47">
      <c r="A786" s="4" t="s">
        <v>48</v>
      </c>
      <c r="C786" s="21"/>
      <c r="D786" s="22" t="s">
        <v>49</v>
      </c>
      <c r="G786" s="23">
        <v>45078</v>
      </c>
      <c r="H786" s="24" t="s">
        <v>2377</v>
      </c>
      <c r="J786" s="28" t="s">
        <v>51</v>
      </c>
      <c r="L786" s="24" t="s">
        <v>2378</v>
      </c>
      <c r="M786" s="1" t="str">
        <f>"120224195505282616"</f>
        <v>120224195505282616</v>
      </c>
      <c r="N786" s="24" t="s">
        <v>2378</v>
      </c>
      <c r="O786" s="1" t="str">
        <f>"120224195505282616"</f>
        <v>120224195505282616</v>
      </c>
      <c r="P786" s="23" t="s">
        <v>2379</v>
      </c>
      <c r="Q786" s="23">
        <v>45079</v>
      </c>
      <c r="R786" s="32">
        <v>45445</v>
      </c>
      <c r="V786" s="33">
        <v>200</v>
      </c>
      <c r="W786" s="28">
        <v>64.29</v>
      </c>
      <c r="X786" s="34" t="s">
        <v>54</v>
      </c>
      <c r="Y786" s="33">
        <v>128.58</v>
      </c>
      <c r="AC786" s="28">
        <v>64.29</v>
      </c>
      <c r="AD786" s="34" t="s">
        <v>54</v>
      </c>
      <c r="AE786" s="33">
        <v>128.58</v>
      </c>
      <c r="AN786" s="7" t="s">
        <v>54</v>
      </c>
      <c r="AO786" s="7" t="s">
        <v>55</v>
      </c>
      <c r="AP786" s="7" t="s">
        <v>56</v>
      </c>
      <c r="AT786" s="47" t="s">
        <v>57</v>
      </c>
      <c r="AU786" s="47" t="s">
        <v>57</v>
      </c>
    </row>
    <row r="787" spans="1:47">
      <c r="A787" s="4" t="s">
        <v>48</v>
      </c>
      <c r="C787" s="21"/>
      <c r="D787" s="22" t="s">
        <v>49</v>
      </c>
      <c r="G787" s="23">
        <v>45093</v>
      </c>
      <c r="H787" s="24" t="s">
        <v>2380</v>
      </c>
      <c r="J787" s="28" t="s">
        <v>51</v>
      </c>
      <c r="L787" s="24" t="s">
        <v>2381</v>
      </c>
      <c r="M787" s="1" t="str">
        <f>"13102419830627001X"</f>
        <v>13102419830627001X</v>
      </c>
      <c r="N787" s="24" t="s">
        <v>2381</v>
      </c>
      <c r="O787" s="1" t="str">
        <f>"13102419830627001X"</f>
        <v>13102419830627001X</v>
      </c>
      <c r="P787" s="23" t="s">
        <v>2382</v>
      </c>
      <c r="Q787" s="23">
        <v>45094</v>
      </c>
      <c r="R787" s="32">
        <v>45460</v>
      </c>
      <c r="V787" s="33">
        <v>300</v>
      </c>
      <c r="W787" s="28">
        <v>64.29</v>
      </c>
      <c r="X787" s="34" t="s">
        <v>54</v>
      </c>
      <c r="Y787" s="33">
        <v>192.87</v>
      </c>
      <c r="AC787" s="28">
        <v>64.29</v>
      </c>
      <c r="AD787" s="34" t="s">
        <v>54</v>
      </c>
      <c r="AE787" s="33">
        <v>192.87</v>
      </c>
      <c r="AN787" s="7" t="s">
        <v>54</v>
      </c>
      <c r="AO787" s="7" t="s">
        <v>55</v>
      </c>
      <c r="AP787" s="7" t="s">
        <v>56</v>
      </c>
      <c r="AT787" s="47" t="s">
        <v>57</v>
      </c>
      <c r="AU787" s="47" t="s">
        <v>57</v>
      </c>
    </row>
    <row r="788" spans="1:47">
      <c r="A788" s="4" t="s">
        <v>48</v>
      </c>
      <c r="C788" s="21"/>
      <c r="D788" s="22" t="s">
        <v>49</v>
      </c>
      <c r="G788" s="23">
        <v>45097</v>
      </c>
      <c r="H788" s="24" t="s">
        <v>2383</v>
      </c>
      <c r="J788" s="28" t="s">
        <v>51</v>
      </c>
      <c r="L788" s="24" t="s">
        <v>2384</v>
      </c>
      <c r="M788" s="1" t="str">
        <f>"341202198706083522"</f>
        <v>341202198706083522</v>
      </c>
      <c r="N788" s="24" t="s">
        <v>2384</v>
      </c>
      <c r="O788" s="1" t="str">
        <f>"341202198706083522"</f>
        <v>341202198706083522</v>
      </c>
      <c r="P788" s="23" t="s">
        <v>2385</v>
      </c>
      <c r="Q788" s="23">
        <v>45098</v>
      </c>
      <c r="R788" s="32">
        <v>45464</v>
      </c>
      <c r="V788" s="33">
        <v>50</v>
      </c>
      <c r="W788" s="28">
        <v>64.29</v>
      </c>
      <c r="X788" s="34" t="s">
        <v>54</v>
      </c>
      <c r="Y788" s="33">
        <v>32.15</v>
      </c>
      <c r="AC788" s="28">
        <v>64.29</v>
      </c>
      <c r="AD788" s="34" t="s">
        <v>54</v>
      </c>
      <c r="AE788" s="33">
        <v>32.15</v>
      </c>
      <c r="AN788" s="7" t="s">
        <v>54</v>
      </c>
      <c r="AO788" s="7" t="s">
        <v>55</v>
      </c>
      <c r="AP788" s="7" t="s">
        <v>56</v>
      </c>
      <c r="AT788" s="47" t="s">
        <v>57</v>
      </c>
      <c r="AU788" s="47" t="s">
        <v>57</v>
      </c>
    </row>
    <row r="789" spans="1:47">
      <c r="A789" s="4" t="s">
        <v>48</v>
      </c>
      <c r="C789" s="21"/>
      <c r="D789" s="22" t="s">
        <v>49</v>
      </c>
      <c r="G789" s="23">
        <v>45095</v>
      </c>
      <c r="H789" s="24" t="s">
        <v>2386</v>
      </c>
      <c r="J789" s="28" t="s">
        <v>51</v>
      </c>
      <c r="L789" s="24" t="s">
        <v>2387</v>
      </c>
      <c r="M789" s="1" t="str">
        <f>"341202197605030523"</f>
        <v>341202197605030523</v>
      </c>
      <c r="N789" s="24" t="s">
        <v>2387</v>
      </c>
      <c r="O789" s="1" t="str">
        <f>"341202197605030523"</f>
        <v>341202197605030523</v>
      </c>
      <c r="P789" s="23" t="s">
        <v>2388</v>
      </c>
      <c r="Q789" s="23">
        <v>45096</v>
      </c>
      <c r="R789" s="32">
        <v>45462</v>
      </c>
      <c r="V789" s="33">
        <v>50</v>
      </c>
      <c r="W789" s="28">
        <v>64.29</v>
      </c>
      <c r="X789" s="34" t="s">
        <v>54</v>
      </c>
      <c r="Y789" s="33">
        <v>32.15</v>
      </c>
      <c r="AC789" s="28">
        <v>64.29</v>
      </c>
      <c r="AD789" s="34" t="s">
        <v>54</v>
      </c>
      <c r="AE789" s="33">
        <v>32.15</v>
      </c>
      <c r="AN789" s="7" t="s">
        <v>54</v>
      </c>
      <c r="AO789" s="7" t="s">
        <v>55</v>
      </c>
      <c r="AP789" s="7" t="s">
        <v>56</v>
      </c>
      <c r="AT789" s="47" t="s">
        <v>57</v>
      </c>
      <c r="AU789" s="47" t="s">
        <v>57</v>
      </c>
    </row>
    <row r="790" spans="1:47">
      <c r="A790" s="4" t="s">
        <v>48</v>
      </c>
      <c r="C790" s="21"/>
      <c r="D790" s="22" t="s">
        <v>49</v>
      </c>
      <c r="G790" s="23">
        <v>45096</v>
      </c>
      <c r="H790" s="24" t="s">
        <v>2389</v>
      </c>
      <c r="J790" s="28" t="s">
        <v>51</v>
      </c>
      <c r="L790" s="24" t="s">
        <v>2390</v>
      </c>
      <c r="M790" s="1" t="str">
        <f>"131024195003100036"</f>
        <v>131024195003100036</v>
      </c>
      <c r="N790" s="24" t="s">
        <v>2390</v>
      </c>
      <c r="O790" s="1" t="str">
        <f>"131024195003100036"</f>
        <v>131024195003100036</v>
      </c>
      <c r="P790" s="23" t="s">
        <v>2391</v>
      </c>
      <c r="Q790" s="23">
        <v>45097</v>
      </c>
      <c r="R790" s="32">
        <v>45463</v>
      </c>
      <c r="V790" s="33">
        <v>50</v>
      </c>
      <c r="W790" s="28">
        <v>64.29</v>
      </c>
      <c r="X790" s="34" t="s">
        <v>54</v>
      </c>
      <c r="Y790" s="33">
        <v>32.15</v>
      </c>
      <c r="AC790" s="28">
        <v>64.29</v>
      </c>
      <c r="AD790" s="34" t="s">
        <v>54</v>
      </c>
      <c r="AE790" s="33">
        <v>32.15</v>
      </c>
      <c r="AN790" s="7" t="s">
        <v>54</v>
      </c>
      <c r="AO790" s="7" t="s">
        <v>55</v>
      </c>
      <c r="AP790" s="7" t="s">
        <v>56</v>
      </c>
      <c r="AT790" s="47" t="s">
        <v>57</v>
      </c>
      <c r="AU790" s="47" t="s">
        <v>57</v>
      </c>
    </row>
    <row r="791" spans="1:47">
      <c r="A791" s="4" t="s">
        <v>48</v>
      </c>
      <c r="C791" s="21"/>
      <c r="D791" s="22" t="s">
        <v>49</v>
      </c>
      <c r="G791" s="23">
        <v>45102</v>
      </c>
      <c r="H791" s="24" t="s">
        <v>2392</v>
      </c>
      <c r="J791" s="28" t="s">
        <v>51</v>
      </c>
      <c r="L791" s="24" t="s">
        <v>2393</v>
      </c>
      <c r="M791" s="1" t="str">
        <f>"132823196410261366"</f>
        <v>132823196410261366</v>
      </c>
      <c r="N791" s="24" t="s">
        <v>2393</v>
      </c>
      <c r="O791" s="1" t="str">
        <f>"132823196410261366"</f>
        <v>132823196410261366</v>
      </c>
      <c r="P791" s="23" t="s">
        <v>2394</v>
      </c>
      <c r="Q791" s="23">
        <v>45103</v>
      </c>
      <c r="R791" s="32">
        <v>45469</v>
      </c>
      <c r="V791" s="33">
        <v>100</v>
      </c>
      <c r="W791" s="28">
        <v>64.29</v>
      </c>
      <c r="X791" s="34" t="s">
        <v>54</v>
      </c>
      <c r="Y791" s="33">
        <v>64.29</v>
      </c>
      <c r="AC791" s="28">
        <v>64.29</v>
      </c>
      <c r="AD791" s="34" t="s">
        <v>54</v>
      </c>
      <c r="AE791" s="33">
        <v>64.29</v>
      </c>
      <c r="AN791" s="7" t="s">
        <v>54</v>
      </c>
      <c r="AO791" s="7" t="s">
        <v>55</v>
      </c>
      <c r="AP791" s="7" t="s">
        <v>56</v>
      </c>
      <c r="AT791" s="47" t="s">
        <v>57</v>
      </c>
      <c r="AU791" s="47" t="s">
        <v>57</v>
      </c>
    </row>
    <row r="792" spans="1:47">
      <c r="A792" s="4" t="s">
        <v>48</v>
      </c>
      <c r="C792" s="21"/>
      <c r="D792" s="22" t="s">
        <v>49</v>
      </c>
      <c r="G792" s="23">
        <v>45102</v>
      </c>
      <c r="H792" s="24" t="s">
        <v>2395</v>
      </c>
      <c r="J792" s="28" t="s">
        <v>51</v>
      </c>
      <c r="L792" s="24" t="s">
        <v>2396</v>
      </c>
      <c r="M792" s="1" t="str">
        <f>"13102419820208073X"</f>
        <v>13102419820208073X</v>
      </c>
      <c r="N792" s="24" t="s">
        <v>2396</v>
      </c>
      <c r="O792" s="1" t="str">
        <f>"13102419820208073X"</f>
        <v>13102419820208073X</v>
      </c>
      <c r="P792" s="23" t="s">
        <v>2397</v>
      </c>
      <c r="Q792" s="23">
        <v>45103</v>
      </c>
      <c r="R792" s="32">
        <v>45469</v>
      </c>
      <c r="V792" s="33">
        <v>100</v>
      </c>
      <c r="W792" s="28">
        <v>64.29</v>
      </c>
      <c r="X792" s="34" t="s">
        <v>54</v>
      </c>
      <c r="Y792" s="33">
        <v>64.29</v>
      </c>
      <c r="AC792" s="28">
        <v>64.29</v>
      </c>
      <c r="AD792" s="34" t="s">
        <v>54</v>
      </c>
      <c r="AE792" s="33">
        <v>64.29</v>
      </c>
      <c r="AN792" s="7" t="s">
        <v>54</v>
      </c>
      <c r="AO792" s="7" t="s">
        <v>55</v>
      </c>
      <c r="AP792" s="7" t="s">
        <v>56</v>
      </c>
      <c r="AT792" s="47" t="s">
        <v>57</v>
      </c>
      <c r="AU792" s="47" t="s">
        <v>57</v>
      </c>
    </row>
    <row r="793" spans="1:47">
      <c r="A793" s="4" t="s">
        <v>48</v>
      </c>
      <c r="C793" s="21"/>
      <c r="D793" s="22" t="s">
        <v>49</v>
      </c>
      <c r="G793" s="23">
        <v>45090</v>
      </c>
      <c r="H793" s="24" t="s">
        <v>2398</v>
      </c>
      <c r="J793" s="28" t="s">
        <v>51</v>
      </c>
      <c r="L793" s="24" t="s">
        <v>2399</v>
      </c>
      <c r="M793" s="1" t="str">
        <f>"110102195710142713"</f>
        <v>110102195710142713</v>
      </c>
      <c r="N793" s="24" t="s">
        <v>2399</v>
      </c>
      <c r="O793" s="1" t="str">
        <f>"110102195710142713"</f>
        <v>110102195710142713</v>
      </c>
      <c r="P793" s="23" t="s">
        <v>2400</v>
      </c>
      <c r="Q793" s="23">
        <v>45164</v>
      </c>
      <c r="R793" s="32">
        <v>45530</v>
      </c>
      <c r="V793" s="33">
        <v>100</v>
      </c>
      <c r="W793" s="28">
        <v>64.29</v>
      </c>
      <c r="X793" s="34" t="s">
        <v>54</v>
      </c>
      <c r="Y793" s="33">
        <v>64.29</v>
      </c>
      <c r="AC793" s="28">
        <v>64.29</v>
      </c>
      <c r="AD793" s="34" t="s">
        <v>54</v>
      </c>
      <c r="AE793" s="33">
        <v>64.29</v>
      </c>
      <c r="AN793" s="7" t="s">
        <v>54</v>
      </c>
      <c r="AO793" s="7" t="s">
        <v>55</v>
      </c>
      <c r="AP793" s="7" t="s">
        <v>56</v>
      </c>
      <c r="AT793" s="47" t="s">
        <v>57</v>
      </c>
      <c r="AU793" s="47" t="s">
        <v>57</v>
      </c>
    </row>
    <row r="794" spans="1:47">
      <c r="A794" s="4" t="s">
        <v>48</v>
      </c>
      <c r="C794" s="21"/>
      <c r="D794" s="22" t="s">
        <v>49</v>
      </c>
      <c r="G794" s="23">
        <v>45079</v>
      </c>
      <c r="H794" s="24" t="s">
        <v>2401</v>
      </c>
      <c r="J794" s="28" t="s">
        <v>51</v>
      </c>
      <c r="L794" s="24" t="s">
        <v>2402</v>
      </c>
      <c r="M794" s="1" t="str">
        <f>"132823197307067228"</f>
        <v>132823197307067228</v>
      </c>
      <c r="N794" s="24" t="s">
        <v>2402</v>
      </c>
      <c r="O794" s="1" t="str">
        <f>"132823197307067228"</f>
        <v>132823197307067228</v>
      </c>
      <c r="P794" s="23" t="s">
        <v>2403</v>
      </c>
      <c r="Q794" s="23">
        <v>45080</v>
      </c>
      <c r="R794" s="32">
        <v>45446</v>
      </c>
      <c r="V794" s="33">
        <v>100</v>
      </c>
      <c r="W794" s="28">
        <v>64.29</v>
      </c>
      <c r="X794" s="34" t="s">
        <v>54</v>
      </c>
      <c r="Y794" s="33">
        <v>64.29</v>
      </c>
      <c r="AC794" s="28">
        <v>64.29</v>
      </c>
      <c r="AD794" s="34" t="s">
        <v>54</v>
      </c>
      <c r="AE794" s="33">
        <v>64.29</v>
      </c>
      <c r="AN794" s="7" t="s">
        <v>54</v>
      </c>
      <c r="AO794" s="7" t="s">
        <v>55</v>
      </c>
      <c r="AP794" s="7" t="s">
        <v>56</v>
      </c>
      <c r="AT794" s="47" t="s">
        <v>57</v>
      </c>
      <c r="AU794" s="47" t="s">
        <v>57</v>
      </c>
    </row>
    <row r="795" spans="1:47">
      <c r="A795" s="4" t="s">
        <v>48</v>
      </c>
      <c r="C795" s="21"/>
      <c r="D795" s="22" t="s">
        <v>49</v>
      </c>
      <c r="G795" s="23">
        <v>45079</v>
      </c>
      <c r="H795" s="24" t="s">
        <v>2404</v>
      </c>
      <c r="J795" s="28" t="s">
        <v>51</v>
      </c>
      <c r="L795" s="24" t="s">
        <v>2405</v>
      </c>
      <c r="M795" s="1" t="str">
        <f>"132530197406060045"</f>
        <v>132530197406060045</v>
      </c>
      <c r="N795" s="24" t="s">
        <v>2405</v>
      </c>
      <c r="O795" s="1" t="str">
        <f>"132530197406060045"</f>
        <v>132530197406060045</v>
      </c>
      <c r="P795" s="23" t="s">
        <v>2406</v>
      </c>
      <c r="Q795" s="23">
        <v>45080</v>
      </c>
      <c r="R795" s="32">
        <v>45446</v>
      </c>
      <c r="V795" s="33">
        <v>100</v>
      </c>
      <c r="W795" s="28">
        <v>64.29</v>
      </c>
      <c r="X795" s="34" t="s">
        <v>54</v>
      </c>
      <c r="Y795" s="33">
        <v>64.29</v>
      </c>
      <c r="AC795" s="28">
        <v>64.29</v>
      </c>
      <c r="AD795" s="34" t="s">
        <v>54</v>
      </c>
      <c r="AE795" s="33">
        <v>64.29</v>
      </c>
      <c r="AN795" s="7" t="s">
        <v>54</v>
      </c>
      <c r="AO795" s="7" t="s">
        <v>55</v>
      </c>
      <c r="AP795" s="7" t="s">
        <v>56</v>
      </c>
      <c r="AT795" s="47" t="s">
        <v>57</v>
      </c>
      <c r="AU795" s="47" t="s">
        <v>57</v>
      </c>
    </row>
    <row r="796" spans="1:47">
      <c r="A796" s="4" t="s">
        <v>48</v>
      </c>
      <c r="C796" s="21"/>
      <c r="D796" s="22" t="s">
        <v>49</v>
      </c>
      <c r="G796" s="23">
        <v>45077</v>
      </c>
      <c r="H796" s="24" t="s">
        <v>2407</v>
      </c>
      <c r="J796" s="28" t="s">
        <v>51</v>
      </c>
      <c r="L796" s="24" t="s">
        <v>2408</v>
      </c>
      <c r="M796" s="1" t="str">
        <f>"341222198501093255"</f>
        <v>341222198501093255</v>
      </c>
      <c r="N796" s="24" t="s">
        <v>2408</v>
      </c>
      <c r="O796" s="1" t="str">
        <f>"341222198501093255"</f>
        <v>341222198501093255</v>
      </c>
      <c r="P796" s="23" t="s">
        <v>2409</v>
      </c>
      <c r="Q796" s="23">
        <v>45139</v>
      </c>
      <c r="R796" s="32">
        <v>45505</v>
      </c>
      <c r="V796" s="33">
        <v>100</v>
      </c>
      <c r="W796" s="28">
        <v>64.29</v>
      </c>
      <c r="X796" s="34" t="s">
        <v>54</v>
      </c>
      <c r="Y796" s="33">
        <v>64.29</v>
      </c>
      <c r="AC796" s="28">
        <v>64.29</v>
      </c>
      <c r="AD796" s="34" t="s">
        <v>54</v>
      </c>
      <c r="AE796" s="33">
        <v>64.29</v>
      </c>
      <c r="AN796" s="7" t="s">
        <v>54</v>
      </c>
      <c r="AO796" s="7" t="s">
        <v>55</v>
      </c>
      <c r="AP796" s="7" t="s">
        <v>56</v>
      </c>
      <c r="AT796" s="47" t="s">
        <v>57</v>
      </c>
      <c r="AU796" s="47" t="s">
        <v>57</v>
      </c>
    </row>
    <row r="797" spans="1:47">
      <c r="A797" s="4" t="s">
        <v>48</v>
      </c>
      <c r="C797" s="21"/>
      <c r="D797" s="22" t="s">
        <v>49</v>
      </c>
      <c r="G797" s="23">
        <v>45077</v>
      </c>
      <c r="H797" s="24" t="s">
        <v>2410</v>
      </c>
      <c r="J797" s="28" t="s">
        <v>51</v>
      </c>
      <c r="L797" s="24" t="s">
        <v>2411</v>
      </c>
      <c r="M797" s="1" t="str">
        <f>"350204198706244027"</f>
        <v>350204198706244027</v>
      </c>
      <c r="N797" s="24" t="s">
        <v>2411</v>
      </c>
      <c r="O797" s="1" t="str">
        <f>"350204198706244027"</f>
        <v>350204198706244027</v>
      </c>
      <c r="P797" s="23" t="s">
        <v>2412</v>
      </c>
      <c r="Q797" s="23">
        <v>45078</v>
      </c>
      <c r="R797" s="32">
        <v>45444</v>
      </c>
      <c r="V797" s="33">
        <v>100</v>
      </c>
      <c r="W797" s="28">
        <v>64.29</v>
      </c>
      <c r="X797" s="34" t="s">
        <v>54</v>
      </c>
      <c r="Y797" s="33">
        <v>64.29</v>
      </c>
      <c r="AC797" s="28">
        <v>64.29</v>
      </c>
      <c r="AD797" s="34" t="s">
        <v>54</v>
      </c>
      <c r="AE797" s="33">
        <v>64.29</v>
      </c>
      <c r="AN797" s="7" t="s">
        <v>54</v>
      </c>
      <c r="AO797" s="7" t="s">
        <v>55</v>
      </c>
      <c r="AP797" s="7" t="s">
        <v>56</v>
      </c>
      <c r="AT797" s="47" t="s">
        <v>57</v>
      </c>
      <c r="AU797" s="47" t="s">
        <v>57</v>
      </c>
    </row>
    <row r="798" spans="1:47">
      <c r="A798" s="4" t="s">
        <v>48</v>
      </c>
      <c r="C798" s="21"/>
      <c r="D798" s="22" t="s">
        <v>49</v>
      </c>
      <c r="G798" s="23">
        <v>45092</v>
      </c>
      <c r="H798" s="24" t="s">
        <v>2413</v>
      </c>
      <c r="J798" s="28" t="s">
        <v>51</v>
      </c>
      <c r="L798" s="24" t="s">
        <v>2414</v>
      </c>
      <c r="M798" s="1" t="str">
        <f>"110105197109115464"</f>
        <v>110105197109115464</v>
      </c>
      <c r="N798" s="24" t="s">
        <v>2414</v>
      </c>
      <c r="O798" s="1" t="str">
        <f>"110105197109115464"</f>
        <v>110105197109115464</v>
      </c>
      <c r="P798" s="23" t="s">
        <v>2415</v>
      </c>
      <c r="Q798" s="23">
        <v>45093</v>
      </c>
      <c r="R798" s="32">
        <v>45459</v>
      </c>
      <c r="V798" s="33">
        <v>300</v>
      </c>
      <c r="W798" s="28">
        <v>64.29</v>
      </c>
      <c r="X798" s="34" t="s">
        <v>54</v>
      </c>
      <c r="Y798" s="33">
        <v>192.87</v>
      </c>
      <c r="AC798" s="28">
        <v>64.29</v>
      </c>
      <c r="AD798" s="34" t="s">
        <v>54</v>
      </c>
      <c r="AE798" s="33">
        <v>192.87</v>
      </c>
      <c r="AN798" s="7" t="s">
        <v>54</v>
      </c>
      <c r="AO798" s="7" t="s">
        <v>55</v>
      </c>
      <c r="AP798" s="7" t="s">
        <v>56</v>
      </c>
      <c r="AT798" s="47" t="s">
        <v>57</v>
      </c>
      <c r="AU798" s="47" t="s">
        <v>57</v>
      </c>
    </row>
    <row r="799" spans="1:47">
      <c r="A799" s="4" t="s">
        <v>48</v>
      </c>
      <c r="C799" s="21"/>
      <c r="D799" s="22" t="s">
        <v>49</v>
      </c>
      <c r="G799" s="23">
        <v>45092</v>
      </c>
      <c r="H799" s="24" t="s">
        <v>2416</v>
      </c>
      <c r="J799" s="28" t="s">
        <v>51</v>
      </c>
      <c r="L799" s="24" t="s">
        <v>2417</v>
      </c>
      <c r="M799" s="1" t="str">
        <f>"120222199005161418"</f>
        <v>120222199005161418</v>
      </c>
      <c r="N799" s="24" t="s">
        <v>2417</v>
      </c>
      <c r="O799" s="1" t="str">
        <f>"120222199005161418"</f>
        <v>120222199005161418</v>
      </c>
      <c r="P799" s="23" t="s">
        <v>2418</v>
      </c>
      <c r="Q799" s="23">
        <v>45093</v>
      </c>
      <c r="R799" s="32">
        <v>45459</v>
      </c>
      <c r="V799" s="33">
        <v>300</v>
      </c>
      <c r="W799" s="28">
        <v>64.29</v>
      </c>
      <c r="X799" s="34" t="s">
        <v>54</v>
      </c>
      <c r="Y799" s="33">
        <v>192.87</v>
      </c>
      <c r="AC799" s="28">
        <v>64.29</v>
      </c>
      <c r="AD799" s="34" t="s">
        <v>54</v>
      </c>
      <c r="AE799" s="33">
        <v>192.87</v>
      </c>
      <c r="AN799" s="7" t="s">
        <v>54</v>
      </c>
      <c r="AO799" s="7" t="s">
        <v>55</v>
      </c>
      <c r="AP799" s="7" t="s">
        <v>56</v>
      </c>
      <c r="AT799" s="47" t="s">
        <v>57</v>
      </c>
      <c r="AU799" s="47" t="s">
        <v>57</v>
      </c>
    </row>
    <row r="800" spans="1:47">
      <c r="A800" s="4" t="s">
        <v>48</v>
      </c>
      <c r="C800" s="21"/>
      <c r="D800" s="22" t="s">
        <v>49</v>
      </c>
      <c r="G800" s="23">
        <v>45091</v>
      </c>
      <c r="H800" s="24" t="s">
        <v>2419</v>
      </c>
      <c r="J800" s="28" t="s">
        <v>51</v>
      </c>
      <c r="L800" s="24" t="s">
        <v>2420</v>
      </c>
      <c r="M800" s="1" t="str">
        <f>"130828199206232713"</f>
        <v>130828199206232713</v>
      </c>
      <c r="N800" s="24" t="s">
        <v>2420</v>
      </c>
      <c r="O800" s="1" t="str">
        <f>"130828199206232713"</f>
        <v>130828199206232713</v>
      </c>
      <c r="P800" s="23" t="s">
        <v>2421</v>
      </c>
      <c r="Q800" s="23">
        <v>45092</v>
      </c>
      <c r="R800" s="32">
        <v>45458</v>
      </c>
      <c r="V800" s="33">
        <v>300</v>
      </c>
      <c r="W800" s="28">
        <v>64.29</v>
      </c>
      <c r="X800" s="34" t="s">
        <v>54</v>
      </c>
      <c r="Y800" s="33">
        <v>192.87</v>
      </c>
      <c r="AC800" s="28">
        <v>64.29</v>
      </c>
      <c r="AD800" s="34" t="s">
        <v>54</v>
      </c>
      <c r="AE800" s="33">
        <v>192.87</v>
      </c>
      <c r="AN800" s="7" t="s">
        <v>54</v>
      </c>
      <c r="AO800" s="7" t="s">
        <v>55</v>
      </c>
      <c r="AP800" s="7" t="s">
        <v>56</v>
      </c>
      <c r="AT800" s="47" t="s">
        <v>57</v>
      </c>
      <c r="AU800" s="47" t="s">
        <v>57</v>
      </c>
    </row>
    <row r="801" spans="1:47">
      <c r="A801" s="4" t="s">
        <v>48</v>
      </c>
      <c r="C801" s="21"/>
      <c r="D801" s="22" t="s">
        <v>49</v>
      </c>
      <c r="G801" s="23">
        <v>45091</v>
      </c>
      <c r="H801" s="24" t="s">
        <v>2422</v>
      </c>
      <c r="J801" s="28" t="s">
        <v>51</v>
      </c>
      <c r="L801" s="24" t="s">
        <v>2423</v>
      </c>
      <c r="M801" s="1" t="str">
        <f>"130406197301220623"</f>
        <v>130406197301220623</v>
      </c>
      <c r="N801" s="24" t="s">
        <v>2423</v>
      </c>
      <c r="O801" s="1" t="str">
        <f>"130406197301220623"</f>
        <v>130406197301220623</v>
      </c>
      <c r="P801" s="23" t="s">
        <v>2424</v>
      </c>
      <c r="Q801" s="23">
        <v>45092</v>
      </c>
      <c r="R801" s="32">
        <v>45458</v>
      </c>
      <c r="V801" s="33">
        <v>300</v>
      </c>
      <c r="W801" s="28">
        <v>64.29</v>
      </c>
      <c r="X801" s="34" t="s">
        <v>54</v>
      </c>
      <c r="Y801" s="33">
        <v>192.87</v>
      </c>
      <c r="AC801" s="28">
        <v>64.29</v>
      </c>
      <c r="AD801" s="34" t="s">
        <v>54</v>
      </c>
      <c r="AE801" s="33">
        <v>192.87</v>
      </c>
      <c r="AN801" s="7" t="s">
        <v>54</v>
      </c>
      <c r="AO801" s="7" t="s">
        <v>55</v>
      </c>
      <c r="AP801" s="7" t="s">
        <v>56</v>
      </c>
      <c r="AT801" s="47" t="s">
        <v>57</v>
      </c>
      <c r="AU801" s="47" t="s">
        <v>57</v>
      </c>
    </row>
    <row r="802" spans="1:47">
      <c r="A802" s="4" t="s">
        <v>48</v>
      </c>
      <c r="C802" s="21"/>
      <c r="D802" s="22" t="s">
        <v>49</v>
      </c>
      <c r="G802" s="23">
        <v>45090</v>
      </c>
      <c r="H802" s="24" t="s">
        <v>2425</v>
      </c>
      <c r="J802" s="28" t="s">
        <v>51</v>
      </c>
      <c r="L802" s="24" t="s">
        <v>2426</v>
      </c>
      <c r="M802" s="1" t="str">
        <f>"341202195205051916"</f>
        <v>341202195205051916</v>
      </c>
      <c r="N802" s="24" t="s">
        <v>2426</v>
      </c>
      <c r="O802" s="1" t="str">
        <f>"341202195205051916"</f>
        <v>341202195205051916</v>
      </c>
      <c r="P802" s="23" t="s">
        <v>2427</v>
      </c>
      <c r="Q802" s="23">
        <v>45091</v>
      </c>
      <c r="R802" s="32">
        <v>45457</v>
      </c>
      <c r="V802" s="33">
        <v>300</v>
      </c>
      <c r="W802" s="28">
        <v>64.29</v>
      </c>
      <c r="X802" s="34" t="s">
        <v>54</v>
      </c>
      <c r="Y802" s="33">
        <v>192.87</v>
      </c>
      <c r="AC802" s="28">
        <v>64.29</v>
      </c>
      <c r="AD802" s="34" t="s">
        <v>54</v>
      </c>
      <c r="AE802" s="33">
        <v>192.87</v>
      </c>
      <c r="AN802" s="7" t="s">
        <v>54</v>
      </c>
      <c r="AO802" s="7" t="s">
        <v>55</v>
      </c>
      <c r="AP802" s="7" t="s">
        <v>56</v>
      </c>
      <c r="AT802" s="47" t="s">
        <v>57</v>
      </c>
      <c r="AU802" s="47" t="s">
        <v>57</v>
      </c>
    </row>
    <row r="803" spans="1:47">
      <c r="A803" s="4" t="s">
        <v>48</v>
      </c>
      <c r="C803" s="21"/>
      <c r="D803" s="22" t="s">
        <v>49</v>
      </c>
      <c r="G803" s="23">
        <v>45087</v>
      </c>
      <c r="H803" s="24" t="s">
        <v>2428</v>
      </c>
      <c r="J803" s="28" t="s">
        <v>51</v>
      </c>
      <c r="L803" s="24" t="s">
        <v>2429</v>
      </c>
      <c r="M803" s="1" t="str">
        <f>"341202197411261710"</f>
        <v>341202197411261710</v>
      </c>
      <c r="N803" s="24" t="s">
        <v>2429</v>
      </c>
      <c r="O803" s="1" t="str">
        <f>"341202197411261710"</f>
        <v>341202197411261710</v>
      </c>
      <c r="P803" s="23" t="s">
        <v>2430</v>
      </c>
      <c r="Q803" s="23">
        <v>45088</v>
      </c>
      <c r="R803" s="32">
        <v>45454</v>
      </c>
      <c r="V803" s="33">
        <v>300</v>
      </c>
      <c r="W803" s="28">
        <v>64.29</v>
      </c>
      <c r="X803" s="34" t="s">
        <v>54</v>
      </c>
      <c r="Y803" s="33">
        <v>192.87</v>
      </c>
      <c r="AC803" s="28">
        <v>64.29</v>
      </c>
      <c r="AD803" s="34" t="s">
        <v>54</v>
      </c>
      <c r="AE803" s="33">
        <v>192.87</v>
      </c>
      <c r="AN803" s="7" t="s">
        <v>54</v>
      </c>
      <c r="AO803" s="7" t="s">
        <v>55</v>
      </c>
      <c r="AP803" s="7" t="s">
        <v>56</v>
      </c>
      <c r="AT803" s="47" t="s">
        <v>57</v>
      </c>
      <c r="AU803" s="47" t="s">
        <v>57</v>
      </c>
    </row>
    <row r="804" spans="1:47">
      <c r="A804" s="4" t="s">
        <v>48</v>
      </c>
      <c r="C804" s="21"/>
      <c r="D804" s="22" t="s">
        <v>49</v>
      </c>
      <c r="G804" s="23">
        <v>45095</v>
      </c>
      <c r="H804" s="24" t="s">
        <v>2431</v>
      </c>
      <c r="J804" s="28" t="s">
        <v>51</v>
      </c>
      <c r="L804" s="24" t="s">
        <v>2432</v>
      </c>
      <c r="M804" s="1" t="str">
        <f>"341225198910055224"</f>
        <v>341225198910055224</v>
      </c>
      <c r="N804" s="24" t="s">
        <v>2432</v>
      </c>
      <c r="O804" s="1" t="str">
        <f>"341225198910055224"</f>
        <v>341225198910055224</v>
      </c>
      <c r="P804" s="23" t="s">
        <v>2433</v>
      </c>
      <c r="Q804" s="23">
        <v>45096</v>
      </c>
      <c r="R804" s="32">
        <v>45462</v>
      </c>
      <c r="V804" s="33">
        <v>50</v>
      </c>
      <c r="W804" s="28">
        <v>64.29</v>
      </c>
      <c r="X804" s="34" t="s">
        <v>54</v>
      </c>
      <c r="Y804" s="33">
        <v>32.15</v>
      </c>
      <c r="AC804" s="28">
        <v>64.29</v>
      </c>
      <c r="AD804" s="34" t="s">
        <v>54</v>
      </c>
      <c r="AE804" s="33">
        <v>32.15</v>
      </c>
      <c r="AN804" s="7" t="s">
        <v>54</v>
      </c>
      <c r="AO804" s="7" t="s">
        <v>55</v>
      </c>
      <c r="AP804" s="7" t="s">
        <v>56</v>
      </c>
      <c r="AT804" s="47" t="s">
        <v>57</v>
      </c>
      <c r="AU804" s="47" t="s">
        <v>57</v>
      </c>
    </row>
    <row r="805" spans="1:47">
      <c r="A805" s="4" t="s">
        <v>48</v>
      </c>
      <c r="C805" s="21"/>
      <c r="D805" s="22" t="s">
        <v>49</v>
      </c>
      <c r="G805" s="23">
        <v>45095</v>
      </c>
      <c r="H805" s="24" t="s">
        <v>2434</v>
      </c>
      <c r="J805" s="28" t="s">
        <v>51</v>
      </c>
      <c r="L805" s="24" t="s">
        <v>2435</v>
      </c>
      <c r="M805" s="1" t="str">
        <f>"341202198809133553"</f>
        <v>341202198809133553</v>
      </c>
      <c r="N805" s="24" t="s">
        <v>2435</v>
      </c>
      <c r="O805" s="1" t="str">
        <f>"341202198809133553"</f>
        <v>341202198809133553</v>
      </c>
      <c r="P805" s="23" t="s">
        <v>2436</v>
      </c>
      <c r="Q805" s="23">
        <v>45096</v>
      </c>
      <c r="R805" s="32">
        <v>45462</v>
      </c>
      <c r="V805" s="33">
        <v>50</v>
      </c>
      <c r="W805" s="28">
        <v>64.29</v>
      </c>
      <c r="X805" s="34" t="s">
        <v>54</v>
      </c>
      <c r="Y805" s="33">
        <v>32.15</v>
      </c>
      <c r="AC805" s="28">
        <v>64.29</v>
      </c>
      <c r="AD805" s="34" t="s">
        <v>54</v>
      </c>
      <c r="AE805" s="33">
        <v>32.15</v>
      </c>
      <c r="AN805" s="7" t="s">
        <v>54</v>
      </c>
      <c r="AO805" s="7" t="s">
        <v>55</v>
      </c>
      <c r="AP805" s="7" t="s">
        <v>56</v>
      </c>
      <c r="AT805" s="47" t="s">
        <v>57</v>
      </c>
      <c r="AU805" s="47" t="s">
        <v>57</v>
      </c>
    </row>
    <row r="806" spans="1:47">
      <c r="A806" s="4" t="s">
        <v>48</v>
      </c>
      <c r="C806" s="21"/>
      <c r="D806" s="22" t="s">
        <v>49</v>
      </c>
      <c r="G806" s="23">
        <v>45090</v>
      </c>
      <c r="H806" s="24" t="s">
        <v>2437</v>
      </c>
      <c r="J806" s="28" t="s">
        <v>51</v>
      </c>
      <c r="L806" s="24" t="s">
        <v>2438</v>
      </c>
      <c r="M806" s="1" t="str">
        <f>"342101198302235816"</f>
        <v>342101198302235816</v>
      </c>
      <c r="N806" s="24" t="s">
        <v>2438</v>
      </c>
      <c r="O806" s="1" t="str">
        <f>"342101198302235816"</f>
        <v>342101198302235816</v>
      </c>
      <c r="P806" s="23" t="s">
        <v>2439</v>
      </c>
      <c r="Q806" s="23">
        <v>45091</v>
      </c>
      <c r="R806" s="32">
        <v>45457</v>
      </c>
      <c r="V806" s="33">
        <v>50</v>
      </c>
      <c r="W806" s="28">
        <v>64.29</v>
      </c>
      <c r="X806" s="34" t="s">
        <v>54</v>
      </c>
      <c r="Y806" s="33">
        <v>32.15</v>
      </c>
      <c r="AC806" s="28">
        <v>64.29</v>
      </c>
      <c r="AD806" s="34" t="s">
        <v>54</v>
      </c>
      <c r="AE806" s="33">
        <v>32.15</v>
      </c>
      <c r="AN806" s="7" t="s">
        <v>54</v>
      </c>
      <c r="AO806" s="7" t="s">
        <v>55</v>
      </c>
      <c r="AP806" s="7" t="s">
        <v>56</v>
      </c>
      <c r="AT806" s="47" t="s">
        <v>57</v>
      </c>
      <c r="AU806" s="47" t="s">
        <v>57</v>
      </c>
    </row>
    <row r="807" spans="1:47">
      <c r="A807" s="4" t="s">
        <v>48</v>
      </c>
      <c r="C807" s="21"/>
      <c r="D807" s="22" t="s">
        <v>49</v>
      </c>
      <c r="G807" s="23">
        <v>45088</v>
      </c>
      <c r="H807" s="24" t="s">
        <v>2440</v>
      </c>
      <c r="J807" s="28" t="s">
        <v>51</v>
      </c>
      <c r="L807" s="24" t="s">
        <v>2441</v>
      </c>
      <c r="M807" s="1" t="str">
        <f>"342122198203125306"</f>
        <v>342122198203125306</v>
      </c>
      <c r="N807" s="24" t="s">
        <v>2441</v>
      </c>
      <c r="O807" s="1" t="str">
        <f>"342122198203125306"</f>
        <v>342122198203125306</v>
      </c>
      <c r="P807" s="23" t="s">
        <v>2442</v>
      </c>
      <c r="Q807" s="23">
        <v>45089</v>
      </c>
      <c r="R807" s="32">
        <v>45455</v>
      </c>
      <c r="V807" s="33">
        <v>50</v>
      </c>
      <c r="W807" s="28">
        <v>64.29</v>
      </c>
      <c r="X807" s="34" t="s">
        <v>54</v>
      </c>
      <c r="Y807" s="33">
        <v>32.15</v>
      </c>
      <c r="AC807" s="28">
        <v>64.29</v>
      </c>
      <c r="AD807" s="34" t="s">
        <v>54</v>
      </c>
      <c r="AE807" s="33">
        <v>32.15</v>
      </c>
      <c r="AN807" s="7" t="s">
        <v>54</v>
      </c>
      <c r="AO807" s="7" t="s">
        <v>55</v>
      </c>
      <c r="AP807" s="7" t="s">
        <v>56</v>
      </c>
      <c r="AT807" s="47" t="s">
        <v>57</v>
      </c>
      <c r="AU807" s="47" t="s">
        <v>57</v>
      </c>
    </row>
    <row r="808" spans="1:47">
      <c r="A808" s="4" t="s">
        <v>48</v>
      </c>
      <c r="C808" s="21"/>
      <c r="D808" s="22" t="s">
        <v>49</v>
      </c>
      <c r="G808" s="23">
        <v>45102</v>
      </c>
      <c r="H808" s="24" t="s">
        <v>2443</v>
      </c>
      <c r="J808" s="28" t="s">
        <v>51</v>
      </c>
      <c r="L808" s="24" t="s">
        <v>2444</v>
      </c>
      <c r="M808" s="1" t="str">
        <f>"341204197102100828"</f>
        <v>341204197102100828</v>
      </c>
      <c r="N808" s="24" t="s">
        <v>2444</v>
      </c>
      <c r="O808" s="1" t="str">
        <f>"341204197102100828"</f>
        <v>341204197102100828</v>
      </c>
      <c r="P808" s="23" t="s">
        <v>2445</v>
      </c>
      <c r="Q808" s="23">
        <v>45225</v>
      </c>
      <c r="R808" s="32">
        <v>45591</v>
      </c>
      <c r="V808" s="33">
        <v>100</v>
      </c>
      <c r="W808" s="28">
        <v>64.29</v>
      </c>
      <c r="X808" s="34" t="s">
        <v>54</v>
      </c>
      <c r="Y808" s="33">
        <v>64.29</v>
      </c>
      <c r="AC808" s="28">
        <v>64.29</v>
      </c>
      <c r="AD808" s="34" t="s">
        <v>54</v>
      </c>
      <c r="AE808" s="33">
        <v>64.29</v>
      </c>
      <c r="AN808" s="7" t="s">
        <v>54</v>
      </c>
      <c r="AO808" s="7" t="s">
        <v>55</v>
      </c>
      <c r="AP808" s="7" t="s">
        <v>56</v>
      </c>
      <c r="AT808" s="47" t="s">
        <v>57</v>
      </c>
      <c r="AU808" s="47" t="s">
        <v>57</v>
      </c>
    </row>
    <row r="809" spans="1:47">
      <c r="A809" s="4" t="s">
        <v>48</v>
      </c>
      <c r="C809" s="21"/>
      <c r="D809" s="22" t="s">
        <v>49</v>
      </c>
      <c r="G809" s="23">
        <v>45102</v>
      </c>
      <c r="H809" s="24" t="s">
        <v>2446</v>
      </c>
      <c r="J809" s="28" t="s">
        <v>51</v>
      </c>
      <c r="L809" s="24" t="s">
        <v>2447</v>
      </c>
      <c r="M809" s="1" t="str">
        <f>"132825199211080016"</f>
        <v>132825199211080016</v>
      </c>
      <c r="N809" s="24" t="s">
        <v>2447</v>
      </c>
      <c r="O809" s="1" t="str">
        <f>"132825199211080016"</f>
        <v>132825199211080016</v>
      </c>
      <c r="P809" s="23" t="s">
        <v>2448</v>
      </c>
      <c r="Q809" s="23">
        <v>45103</v>
      </c>
      <c r="R809" s="32">
        <v>45469</v>
      </c>
      <c r="V809" s="33">
        <v>100</v>
      </c>
      <c r="W809" s="28">
        <v>64.29</v>
      </c>
      <c r="X809" s="34" t="s">
        <v>54</v>
      </c>
      <c r="Y809" s="33">
        <v>64.29</v>
      </c>
      <c r="AC809" s="28">
        <v>64.29</v>
      </c>
      <c r="AD809" s="34" t="s">
        <v>54</v>
      </c>
      <c r="AE809" s="33">
        <v>64.29</v>
      </c>
      <c r="AN809" s="7" t="s">
        <v>54</v>
      </c>
      <c r="AO809" s="7" t="s">
        <v>55</v>
      </c>
      <c r="AP809" s="7" t="s">
        <v>56</v>
      </c>
      <c r="AT809" s="47" t="s">
        <v>57</v>
      </c>
      <c r="AU809" s="47" t="s">
        <v>57</v>
      </c>
    </row>
    <row r="810" spans="1:47">
      <c r="A810" s="4" t="s">
        <v>48</v>
      </c>
      <c r="C810" s="21"/>
      <c r="D810" s="22" t="s">
        <v>49</v>
      </c>
      <c r="G810" s="23">
        <v>45098</v>
      </c>
      <c r="H810" s="24" t="s">
        <v>2449</v>
      </c>
      <c r="J810" s="28" t="s">
        <v>51</v>
      </c>
      <c r="L810" s="24" t="s">
        <v>2450</v>
      </c>
      <c r="M810" s="1" t="str">
        <f>"341204199005270816"</f>
        <v>341204199005270816</v>
      </c>
      <c r="N810" s="24" t="s">
        <v>2450</v>
      </c>
      <c r="O810" s="1" t="str">
        <f>"341204199005270816"</f>
        <v>341204199005270816</v>
      </c>
      <c r="P810" s="23" t="s">
        <v>2451</v>
      </c>
      <c r="Q810" s="23">
        <v>45099</v>
      </c>
      <c r="R810" s="32">
        <v>45465</v>
      </c>
      <c r="V810" s="33">
        <v>100</v>
      </c>
      <c r="W810" s="28">
        <v>64.29</v>
      </c>
      <c r="X810" s="34" t="s">
        <v>54</v>
      </c>
      <c r="Y810" s="33">
        <v>64.29</v>
      </c>
      <c r="AC810" s="28">
        <v>64.29</v>
      </c>
      <c r="AD810" s="34" t="s">
        <v>54</v>
      </c>
      <c r="AE810" s="33">
        <v>64.29</v>
      </c>
      <c r="AN810" s="7" t="s">
        <v>54</v>
      </c>
      <c r="AO810" s="7" t="s">
        <v>55</v>
      </c>
      <c r="AP810" s="7" t="s">
        <v>56</v>
      </c>
      <c r="AT810" s="47" t="s">
        <v>57</v>
      </c>
      <c r="AU810" s="47" t="s">
        <v>57</v>
      </c>
    </row>
    <row r="811" spans="1:47">
      <c r="A811" s="4" t="s">
        <v>48</v>
      </c>
      <c r="C811" s="21"/>
      <c r="D811" s="22" t="s">
        <v>49</v>
      </c>
      <c r="G811" s="23">
        <v>45090</v>
      </c>
      <c r="H811" s="24" t="s">
        <v>2452</v>
      </c>
      <c r="J811" s="28" t="s">
        <v>51</v>
      </c>
      <c r="L811" s="24" t="s">
        <v>2453</v>
      </c>
      <c r="M811" s="1" t="str">
        <f>"341221196710010246"</f>
        <v>341221196710010246</v>
      </c>
      <c r="N811" s="24" t="s">
        <v>2453</v>
      </c>
      <c r="O811" s="1" t="str">
        <f>"341221196710010246"</f>
        <v>341221196710010246</v>
      </c>
      <c r="P811" s="23" t="s">
        <v>2454</v>
      </c>
      <c r="Q811" s="23">
        <v>45091</v>
      </c>
      <c r="R811" s="32">
        <v>45457</v>
      </c>
      <c r="V811" s="33">
        <v>100</v>
      </c>
      <c r="W811" s="28">
        <v>64.29</v>
      </c>
      <c r="X811" s="34" t="s">
        <v>54</v>
      </c>
      <c r="Y811" s="33">
        <v>64.29</v>
      </c>
      <c r="AC811" s="28">
        <v>64.29</v>
      </c>
      <c r="AD811" s="34" t="s">
        <v>54</v>
      </c>
      <c r="AE811" s="33">
        <v>64.29</v>
      </c>
      <c r="AN811" s="7" t="s">
        <v>54</v>
      </c>
      <c r="AO811" s="7" t="s">
        <v>55</v>
      </c>
      <c r="AP811" s="7" t="s">
        <v>56</v>
      </c>
      <c r="AT811" s="47" t="s">
        <v>57</v>
      </c>
      <c r="AU811" s="47" t="s">
        <v>57</v>
      </c>
    </row>
    <row r="812" spans="1:47">
      <c r="A812" s="4" t="s">
        <v>48</v>
      </c>
      <c r="C812" s="21"/>
      <c r="D812" s="22" t="s">
        <v>49</v>
      </c>
      <c r="G812" s="23">
        <v>45090</v>
      </c>
      <c r="H812" s="24" t="s">
        <v>2455</v>
      </c>
      <c r="J812" s="28" t="s">
        <v>51</v>
      </c>
      <c r="L812" s="24" t="s">
        <v>2456</v>
      </c>
      <c r="M812" s="1" t="str">
        <f>"131082198606151032"</f>
        <v>131082198606151032</v>
      </c>
      <c r="N812" s="24" t="s">
        <v>2456</v>
      </c>
      <c r="O812" s="1" t="str">
        <f>"131082198606151032"</f>
        <v>131082198606151032</v>
      </c>
      <c r="P812" s="23" t="s">
        <v>2457</v>
      </c>
      <c r="Q812" s="23">
        <v>45091</v>
      </c>
      <c r="R812" s="32">
        <v>45457</v>
      </c>
      <c r="V812" s="33">
        <v>100</v>
      </c>
      <c r="W812" s="28">
        <v>64.29</v>
      </c>
      <c r="X812" s="34" t="s">
        <v>54</v>
      </c>
      <c r="Y812" s="33">
        <v>64.29</v>
      </c>
      <c r="AC812" s="28">
        <v>64.29</v>
      </c>
      <c r="AD812" s="34" t="s">
        <v>54</v>
      </c>
      <c r="AE812" s="33">
        <v>64.29</v>
      </c>
      <c r="AN812" s="7" t="s">
        <v>54</v>
      </c>
      <c r="AO812" s="7" t="s">
        <v>55</v>
      </c>
      <c r="AP812" s="7" t="s">
        <v>56</v>
      </c>
      <c r="AT812" s="47" t="s">
        <v>57</v>
      </c>
      <c r="AU812" s="47" t="s">
        <v>57</v>
      </c>
    </row>
    <row r="813" spans="1:47">
      <c r="A813" s="4" t="s">
        <v>48</v>
      </c>
      <c r="C813" s="21"/>
      <c r="D813" s="22" t="s">
        <v>49</v>
      </c>
      <c r="G813" s="23">
        <v>45090</v>
      </c>
      <c r="H813" s="24" t="s">
        <v>2458</v>
      </c>
      <c r="J813" s="28" t="s">
        <v>51</v>
      </c>
      <c r="L813" s="24" t="s">
        <v>2459</v>
      </c>
      <c r="M813" s="1" t="str">
        <f>"341204198709052441"</f>
        <v>341204198709052441</v>
      </c>
      <c r="N813" s="24" t="s">
        <v>2459</v>
      </c>
      <c r="O813" s="1" t="str">
        <f>"341204198709052441"</f>
        <v>341204198709052441</v>
      </c>
      <c r="P813" s="23" t="s">
        <v>2460</v>
      </c>
      <c r="Q813" s="23">
        <v>45122</v>
      </c>
      <c r="R813" s="32">
        <v>45488</v>
      </c>
      <c r="V813" s="33">
        <v>100</v>
      </c>
      <c r="W813" s="28">
        <v>64.29</v>
      </c>
      <c r="X813" s="34" t="s">
        <v>54</v>
      </c>
      <c r="Y813" s="33">
        <v>64.29</v>
      </c>
      <c r="AC813" s="28">
        <v>64.29</v>
      </c>
      <c r="AD813" s="34" t="s">
        <v>54</v>
      </c>
      <c r="AE813" s="33">
        <v>64.29</v>
      </c>
      <c r="AN813" s="7" t="s">
        <v>54</v>
      </c>
      <c r="AO813" s="7" t="s">
        <v>55</v>
      </c>
      <c r="AP813" s="7" t="s">
        <v>56</v>
      </c>
      <c r="AT813" s="47" t="s">
        <v>57</v>
      </c>
      <c r="AU813" s="47" t="s">
        <v>57</v>
      </c>
    </row>
    <row r="814" spans="1:47">
      <c r="A814" s="4" t="s">
        <v>48</v>
      </c>
      <c r="C814" s="21"/>
      <c r="D814" s="22" t="s">
        <v>49</v>
      </c>
      <c r="G814" s="23">
        <v>45077</v>
      </c>
      <c r="H814" s="24" t="s">
        <v>2461</v>
      </c>
      <c r="J814" s="28" t="s">
        <v>51</v>
      </c>
      <c r="L814" s="24" t="s">
        <v>2462</v>
      </c>
      <c r="M814" s="1" t="str">
        <f>"342128196504194726"</f>
        <v>342128196504194726</v>
      </c>
      <c r="N814" s="24" t="s">
        <v>2462</v>
      </c>
      <c r="O814" s="1" t="str">
        <f>"342128196504194726"</f>
        <v>342128196504194726</v>
      </c>
      <c r="P814" s="23" t="s">
        <v>2463</v>
      </c>
      <c r="Q814" s="23">
        <v>45288</v>
      </c>
      <c r="R814" s="32">
        <v>45654</v>
      </c>
      <c r="V814" s="33">
        <v>100</v>
      </c>
      <c r="W814" s="28">
        <v>64.29</v>
      </c>
      <c r="X814" s="34" t="s">
        <v>54</v>
      </c>
      <c r="Y814" s="33">
        <v>64.29</v>
      </c>
      <c r="AC814" s="28">
        <v>64.29</v>
      </c>
      <c r="AD814" s="34" t="s">
        <v>54</v>
      </c>
      <c r="AE814" s="33">
        <v>64.29</v>
      </c>
      <c r="AN814" s="7" t="s">
        <v>54</v>
      </c>
      <c r="AO814" s="7" t="s">
        <v>55</v>
      </c>
      <c r="AP814" s="7" t="s">
        <v>56</v>
      </c>
      <c r="AT814" s="47" t="s">
        <v>57</v>
      </c>
      <c r="AU814" s="47" t="s">
        <v>57</v>
      </c>
    </row>
    <row r="815" spans="1:47">
      <c r="A815" s="4" t="s">
        <v>48</v>
      </c>
      <c r="C815" s="21"/>
      <c r="D815" s="22" t="s">
        <v>49</v>
      </c>
      <c r="G815" s="23">
        <v>45077</v>
      </c>
      <c r="H815" s="24" t="s">
        <v>2464</v>
      </c>
      <c r="J815" s="28" t="s">
        <v>51</v>
      </c>
      <c r="L815" s="24" t="s">
        <v>2465</v>
      </c>
      <c r="M815" s="1" t="str">
        <f>"131024198105150038"</f>
        <v>131024198105150038</v>
      </c>
      <c r="N815" s="24" t="s">
        <v>2465</v>
      </c>
      <c r="O815" s="1" t="str">
        <f>"131024198105150038"</f>
        <v>131024198105150038</v>
      </c>
      <c r="P815" s="23" t="s">
        <v>2466</v>
      </c>
      <c r="Q815" s="23">
        <v>45200</v>
      </c>
      <c r="R815" s="32">
        <v>45566</v>
      </c>
      <c r="V815" s="33">
        <v>100</v>
      </c>
      <c r="W815" s="28">
        <v>64.29</v>
      </c>
      <c r="X815" s="34" t="s">
        <v>54</v>
      </c>
      <c r="Y815" s="33">
        <v>64.29</v>
      </c>
      <c r="AC815" s="28">
        <v>64.29</v>
      </c>
      <c r="AD815" s="34" t="s">
        <v>54</v>
      </c>
      <c r="AE815" s="33">
        <v>64.29</v>
      </c>
      <c r="AN815" s="7" t="s">
        <v>54</v>
      </c>
      <c r="AO815" s="7" t="s">
        <v>55</v>
      </c>
      <c r="AP815" s="7" t="s">
        <v>56</v>
      </c>
      <c r="AT815" s="47" t="s">
        <v>57</v>
      </c>
      <c r="AU815" s="47" t="s">
        <v>57</v>
      </c>
    </row>
    <row r="816" spans="1:47">
      <c r="A816" s="4" t="s">
        <v>48</v>
      </c>
      <c r="C816" s="21"/>
      <c r="D816" s="22" t="s">
        <v>49</v>
      </c>
      <c r="G816" s="23">
        <v>45078</v>
      </c>
      <c r="H816" s="24" t="s">
        <v>2467</v>
      </c>
      <c r="J816" s="28" t="s">
        <v>51</v>
      </c>
      <c r="L816" s="24" t="s">
        <v>2468</v>
      </c>
      <c r="M816" s="1" t="str">
        <f>"211402198507065040"</f>
        <v>211402198507065040</v>
      </c>
      <c r="N816" s="24" t="s">
        <v>2468</v>
      </c>
      <c r="O816" s="1" t="str">
        <f>"211402198507065040"</f>
        <v>211402198507065040</v>
      </c>
      <c r="P816" s="23" t="s">
        <v>2469</v>
      </c>
      <c r="Q816" s="23">
        <v>45079</v>
      </c>
      <c r="R816" s="32">
        <v>45445</v>
      </c>
      <c r="V816" s="33">
        <v>100</v>
      </c>
      <c r="W816" s="28">
        <v>64.29</v>
      </c>
      <c r="X816" s="34" t="s">
        <v>54</v>
      </c>
      <c r="Y816" s="33">
        <v>64.29</v>
      </c>
      <c r="AC816" s="28">
        <v>64.29</v>
      </c>
      <c r="AD816" s="34" t="s">
        <v>54</v>
      </c>
      <c r="AE816" s="33">
        <v>64.29</v>
      </c>
      <c r="AN816" s="7" t="s">
        <v>54</v>
      </c>
      <c r="AO816" s="7" t="s">
        <v>55</v>
      </c>
      <c r="AP816" s="7" t="s">
        <v>56</v>
      </c>
      <c r="AT816" s="47" t="s">
        <v>57</v>
      </c>
      <c r="AU816" s="47" t="s">
        <v>57</v>
      </c>
    </row>
    <row r="817" spans="1:47">
      <c r="A817" s="4" t="s">
        <v>48</v>
      </c>
      <c r="C817" s="21"/>
      <c r="D817" s="22" t="s">
        <v>49</v>
      </c>
      <c r="G817" s="23">
        <v>45077</v>
      </c>
      <c r="H817" s="24" t="s">
        <v>2470</v>
      </c>
      <c r="J817" s="28" t="s">
        <v>51</v>
      </c>
      <c r="L817" s="24" t="s">
        <v>2471</v>
      </c>
      <c r="M817" s="1" t="str">
        <f>"320322198406060114"</f>
        <v>320322198406060114</v>
      </c>
      <c r="N817" s="24" t="s">
        <v>2471</v>
      </c>
      <c r="O817" s="1" t="str">
        <f>"320322198406060114"</f>
        <v>320322198406060114</v>
      </c>
      <c r="P817" s="23" t="s">
        <v>2472</v>
      </c>
      <c r="Q817" s="23">
        <v>45078</v>
      </c>
      <c r="R817" s="32">
        <v>45444</v>
      </c>
      <c r="V817" s="33">
        <v>100</v>
      </c>
      <c r="W817" s="28">
        <v>64.29</v>
      </c>
      <c r="X817" s="34" t="s">
        <v>54</v>
      </c>
      <c r="Y817" s="33">
        <v>64.29</v>
      </c>
      <c r="AC817" s="28">
        <v>64.29</v>
      </c>
      <c r="AD817" s="34" t="s">
        <v>54</v>
      </c>
      <c r="AE817" s="33">
        <v>64.29</v>
      </c>
      <c r="AN817" s="7" t="s">
        <v>54</v>
      </c>
      <c r="AO817" s="7" t="s">
        <v>55</v>
      </c>
      <c r="AP817" s="7" t="s">
        <v>56</v>
      </c>
      <c r="AT817" s="47" t="s">
        <v>57</v>
      </c>
      <c r="AU817" s="47" t="s">
        <v>57</v>
      </c>
    </row>
    <row r="818" spans="1:47">
      <c r="A818" s="4" t="s">
        <v>48</v>
      </c>
      <c r="C818" s="21"/>
      <c r="D818" s="22" t="s">
        <v>49</v>
      </c>
      <c r="G818" s="23">
        <v>45077</v>
      </c>
      <c r="H818" s="24" t="s">
        <v>2473</v>
      </c>
      <c r="J818" s="28" t="s">
        <v>51</v>
      </c>
      <c r="L818" s="24" t="s">
        <v>2474</v>
      </c>
      <c r="M818" s="1" t="str">
        <f>"342101197009250828"</f>
        <v>342101197009250828</v>
      </c>
      <c r="N818" s="24" t="s">
        <v>2474</v>
      </c>
      <c r="O818" s="1" t="str">
        <f>"342101197009250828"</f>
        <v>342101197009250828</v>
      </c>
      <c r="P818" s="23" t="s">
        <v>2475</v>
      </c>
      <c r="Q818" s="23">
        <v>45078</v>
      </c>
      <c r="R818" s="32">
        <v>45444</v>
      </c>
      <c r="V818" s="33">
        <v>100</v>
      </c>
      <c r="W818" s="28">
        <v>64.29</v>
      </c>
      <c r="X818" s="34" t="s">
        <v>54</v>
      </c>
      <c r="Y818" s="33">
        <v>64.29</v>
      </c>
      <c r="AC818" s="28">
        <v>64.29</v>
      </c>
      <c r="AD818" s="34" t="s">
        <v>54</v>
      </c>
      <c r="AE818" s="33">
        <v>64.29</v>
      </c>
      <c r="AN818" s="7" t="s">
        <v>54</v>
      </c>
      <c r="AO818" s="7" t="s">
        <v>55</v>
      </c>
      <c r="AP818" s="7" t="s">
        <v>56</v>
      </c>
      <c r="AT818" s="47" t="s">
        <v>57</v>
      </c>
      <c r="AU818" s="47" t="s">
        <v>57</v>
      </c>
    </row>
    <row r="819" spans="1:47">
      <c r="A819" s="4" t="s">
        <v>48</v>
      </c>
      <c r="C819" s="21"/>
      <c r="D819" s="22" t="s">
        <v>49</v>
      </c>
      <c r="G819" s="23">
        <v>45076</v>
      </c>
      <c r="H819" s="24" t="s">
        <v>2476</v>
      </c>
      <c r="J819" s="28" t="s">
        <v>51</v>
      </c>
      <c r="L819" s="24" t="s">
        <v>2477</v>
      </c>
      <c r="M819" s="1" t="str">
        <f>"110223198201226012"</f>
        <v>110223198201226012</v>
      </c>
      <c r="N819" s="24" t="s">
        <v>2477</v>
      </c>
      <c r="O819" s="1" t="str">
        <f>"110223198201226012"</f>
        <v>110223198201226012</v>
      </c>
      <c r="P819" s="23" t="s">
        <v>2478</v>
      </c>
      <c r="Q819" s="23">
        <v>45077</v>
      </c>
      <c r="R819" s="32">
        <v>45443</v>
      </c>
      <c r="V819" s="33">
        <v>100</v>
      </c>
      <c r="W819" s="28">
        <v>64.29</v>
      </c>
      <c r="X819" s="34" t="s">
        <v>54</v>
      </c>
      <c r="Y819" s="33">
        <v>64.29</v>
      </c>
      <c r="AC819" s="28">
        <v>64.29</v>
      </c>
      <c r="AD819" s="34" t="s">
        <v>54</v>
      </c>
      <c r="AE819" s="33">
        <v>64.29</v>
      </c>
      <c r="AN819" s="7" t="s">
        <v>54</v>
      </c>
      <c r="AO819" s="7" t="s">
        <v>55</v>
      </c>
      <c r="AP819" s="7" t="s">
        <v>56</v>
      </c>
      <c r="AT819" s="47" t="s">
        <v>57</v>
      </c>
      <c r="AU819" s="47" t="s">
        <v>57</v>
      </c>
    </row>
    <row r="820" spans="1:47">
      <c r="A820" s="4" t="s">
        <v>48</v>
      </c>
      <c r="C820" s="21"/>
      <c r="D820" s="22" t="s">
        <v>49</v>
      </c>
      <c r="G820" s="23">
        <v>45076</v>
      </c>
      <c r="H820" s="24" t="s">
        <v>2479</v>
      </c>
      <c r="J820" s="28" t="s">
        <v>51</v>
      </c>
      <c r="L820" s="24" t="s">
        <v>2480</v>
      </c>
      <c r="M820" s="1" t="str">
        <f>"341203199806120619"</f>
        <v>341203199806120619</v>
      </c>
      <c r="N820" s="24" t="s">
        <v>2480</v>
      </c>
      <c r="O820" s="1" t="str">
        <f>"341203199806120619"</f>
        <v>341203199806120619</v>
      </c>
      <c r="P820" s="23" t="s">
        <v>2481</v>
      </c>
      <c r="Q820" s="23">
        <v>45077</v>
      </c>
      <c r="R820" s="32">
        <v>45443</v>
      </c>
      <c r="V820" s="33">
        <v>100</v>
      </c>
      <c r="W820" s="28">
        <v>64.29</v>
      </c>
      <c r="X820" s="34" t="s">
        <v>54</v>
      </c>
      <c r="Y820" s="33">
        <v>64.29</v>
      </c>
      <c r="AC820" s="28">
        <v>64.29</v>
      </c>
      <c r="AD820" s="34" t="s">
        <v>54</v>
      </c>
      <c r="AE820" s="33">
        <v>64.29</v>
      </c>
      <c r="AN820" s="7" t="s">
        <v>54</v>
      </c>
      <c r="AO820" s="7" t="s">
        <v>55</v>
      </c>
      <c r="AP820" s="7" t="s">
        <v>56</v>
      </c>
      <c r="AT820" s="47" t="s">
        <v>57</v>
      </c>
      <c r="AU820" s="47" t="s">
        <v>57</v>
      </c>
    </row>
    <row r="821" spans="1:47">
      <c r="A821" s="4" t="s">
        <v>48</v>
      </c>
      <c r="C821" s="21"/>
      <c r="D821" s="22" t="s">
        <v>49</v>
      </c>
      <c r="G821" s="23">
        <v>45078</v>
      </c>
      <c r="H821" s="24" t="s">
        <v>2482</v>
      </c>
      <c r="J821" s="28" t="s">
        <v>51</v>
      </c>
      <c r="L821" s="24" t="s">
        <v>2483</v>
      </c>
      <c r="M821" s="1" t="str">
        <f>"341221199503205538"</f>
        <v>341221199503205538</v>
      </c>
      <c r="N821" s="24" t="s">
        <v>2483</v>
      </c>
      <c r="O821" s="1" t="str">
        <f>"341221199503205538"</f>
        <v>341221199503205538</v>
      </c>
      <c r="P821" s="23" t="s">
        <v>2484</v>
      </c>
      <c r="Q821" s="23">
        <v>45079</v>
      </c>
      <c r="R821" s="32">
        <v>45445</v>
      </c>
      <c r="V821" s="33">
        <v>100</v>
      </c>
      <c r="W821" s="28">
        <v>64.29</v>
      </c>
      <c r="X821" s="34" t="s">
        <v>54</v>
      </c>
      <c r="Y821" s="33">
        <v>64.29</v>
      </c>
      <c r="AC821" s="28">
        <v>64.29</v>
      </c>
      <c r="AD821" s="34" t="s">
        <v>54</v>
      </c>
      <c r="AE821" s="33">
        <v>64.29</v>
      </c>
      <c r="AN821" s="7" t="s">
        <v>54</v>
      </c>
      <c r="AO821" s="7" t="s">
        <v>55</v>
      </c>
      <c r="AP821" s="7" t="s">
        <v>56</v>
      </c>
      <c r="AT821" s="47" t="s">
        <v>57</v>
      </c>
      <c r="AU821" s="47" t="s">
        <v>57</v>
      </c>
    </row>
    <row r="822" spans="1:47">
      <c r="A822" s="4" t="s">
        <v>48</v>
      </c>
      <c r="C822" s="21"/>
      <c r="D822" s="22" t="s">
        <v>49</v>
      </c>
      <c r="G822" s="23">
        <v>45080</v>
      </c>
      <c r="H822" s="24" t="s">
        <v>2485</v>
      </c>
      <c r="J822" s="28" t="s">
        <v>51</v>
      </c>
      <c r="L822" s="24" t="s">
        <v>2486</v>
      </c>
      <c r="M822" s="1" t="str">
        <f>"341203198605114410"</f>
        <v>341203198605114410</v>
      </c>
      <c r="N822" s="24" t="s">
        <v>2486</v>
      </c>
      <c r="O822" s="1" t="str">
        <f>"341203198605114410"</f>
        <v>341203198605114410</v>
      </c>
      <c r="P822" s="23" t="s">
        <v>2487</v>
      </c>
      <c r="Q822" s="23">
        <v>45081</v>
      </c>
      <c r="R822" s="32">
        <v>45447</v>
      </c>
      <c r="V822" s="33">
        <v>300</v>
      </c>
      <c r="W822" s="28">
        <v>64.29</v>
      </c>
      <c r="X822" s="34" t="s">
        <v>54</v>
      </c>
      <c r="Y822" s="33">
        <v>192.87</v>
      </c>
      <c r="AC822" s="28">
        <v>64.29</v>
      </c>
      <c r="AD822" s="34" t="s">
        <v>54</v>
      </c>
      <c r="AE822" s="33">
        <v>192.87</v>
      </c>
      <c r="AN822" s="7" t="s">
        <v>54</v>
      </c>
      <c r="AO822" s="7" t="s">
        <v>55</v>
      </c>
      <c r="AP822" s="7" t="s">
        <v>56</v>
      </c>
      <c r="AT822" s="47" t="s">
        <v>57</v>
      </c>
      <c r="AU822" s="47" t="s">
        <v>57</v>
      </c>
    </row>
    <row r="823" spans="1:47">
      <c r="A823" s="4" t="s">
        <v>48</v>
      </c>
      <c r="C823" s="21"/>
      <c r="D823" s="22" t="s">
        <v>49</v>
      </c>
      <c r="G823" s="23">
        <v>45082</v>
      </c>
      <c r="H823" s="24" t="s">
        <v>2488</v>
      </c>
      <c r="J823" s="28" t="s">
        <v>51</v>
      </c>
      <c r="L823" s="24" t="s">
        <v>2489</v>
      </c>
      <c r="M823" s="1" t="str">
        <f>"342127197809159217"</f>
        <v>342127197809159217</v>
      </c>
      <c r="N823" s="24" t="s">
        <v>2489</v>
      </c>
      <c r="O823" s="1" t="str">
        <f>"342127197809159217"</f>
        <v>342127197809159217</v>
      </c>
      <c r="P823" s="23" t="s">
        <v>2490</v>
      </c>
      <c r="Q823" s="23">
        <v>45083</v>
      </c>
      <c r="R823" s="32">
        <v>45449</v>
      </c>
      <c r="V823" s="33">
        <v>300</v>
      </c>
      <c r="W823" s="28">
        <v>64.29</v>
      </c>
      <c r="X823" s="34" t="s">
        <v>54</v>
      </c>
      <c r="Y823" s="33">
        <v>192.87</v>
      </c>
      <c r="AC823" s="28">
        <v>64.29</v>
      </c>
      <c r="AD823" s="34" t="s">
        <v>54</v>
      </c>
      <c r="AE823" s="33">
        <v>192.87</v>
      </c>
      <c r="AN823" s="7" t="s">
        <v>54</v>
      </c>
      <c r="AO823" s="7" t="s">
        <v>55</v>
      </c>
      <c r="AP823" s="7" t="s">
        <v>56</v>
      </c>
      <c r="AT823" s="47" t="s">
        <v>57</v>
      </c>
      <c r="AU823" s="47" t="s">
        <v>57</v>
      </c>
    </row>
    <row r="824" spans="1:47">
      <c r="A824" s="4" t="s">
        <v>48</v>
      </c>
      <c r="C824" s="21"/>
      <c r="D824" s="22" t="s">
        <v>49</v>
      </c>
      <c r="G824" s="23">
        <v>45098</v>
      </c>
      <c r="H824" s="24" t="s">
        <v>2491</v>
      </c>
      <c r="J824" s="28" t="s">
        <v>51</v>
      </c>
      <c r="L824" s="24" t="s">
        <v>2492</v>
      </c>
      <c r="M824" s="1" t="str">
        <f>"341226196808046134"</f>
        <v>341226196808046134</v>
      </c>
      <c r="N824" s="24" t="s">
        <v>2492</v>
      </c>
      <c r="O824" s="1" t="str">
        <f>"341226196808046134"</f>
        <v>341226196808046134</v>
      </c>
      <c r="P824" s="23" t="s">
        <v>2493</v>
      </c>
      <c r="Q824" s="23">
        <v>45166</v>
      </c>
      <c r="R824" s="32">
        <v>45532</v>
      </c>
      <c r="V824" s="33">
        <v>600</v>
      </c>
      <c r="W824" s="28">
        <v>64.29</v>
      </c>
      <c r="X824" s="34" t="s">
        <v>54</v>
      </c>
      <c r="Y824" s="33">
        <v>385.74</v>
      </c>
      <c r="AC824" s="28">
        <v>64.29</v>
      </c>
      <c r="AD824" s="34" t="s">
        <v>54</v>
      </c>
      <c r="AE824" s="33">
        <v>385.74</v>
      </c>
      <c r="AN824" s="7" t="s">
        <v>54</v>
      </c>
      <c r="AO824" s="7" t="s">
        <v>55</v>
      </c>
      <c r="AP824" s="7" t="s">
        <v>56</v>
      </c>
      <c r="AT824" s="47" t="s">
        <v>57</v>
      </c>
      <c r="AU824" s="47" t="s">
        <v>57</v>
      </c>
    </row>
    <row r="825" spans="1:47">
      <c r="A825" s="4" t="s">
        <v>48</v>
      </c>
      <c r="C825" s="21"/>
      <c r="D825" s="22" t="s">
        <v>49</v>
      </c>
      <c r="G825" s="23">
        <v>45090</v>
      </c>
      <c r="H825" s="24" t="s">
        <v>2494</v>
      </c>
      <c r="J825" s="28" t="s">
        <v>51</v>
      </c>
      <c r="L825" s="24" t="s">
        <v>2495</v>
      </c>
      <c r="M825" s="1" t="str">
        <f>"341204199109282221"</f>
        <v>341204199109282221</v>
      </c>
      <c r="N825" s="24" t="s">
        <v>2495</v>
      </c>
      <c r="O825" s="1" t="str">
        <f>"341204199109282221"</f>
        <v>341204199109282221</v>
      </c>
      <c r="P825" s="23" t="s">
        <v>2496</v>
      </c>
      <c r="Q825" s="23">
        <v>45091</v>
      </c>
      <c r="R825" s="32">
        <v>45457</v>
      </c>
      <c r="V825" s="33">
        <v>50</v>
      </c>
      <c r="W825" s="28">
        <v>64.29</v>
      </c>
      <c r="X825" s="34" t="s">
        <v>54</v>
      </c>
      <c r="Y825" s="33">
        <v>32.15</v>
      </c>
      <c r="AC825" s="28">
        <v>64.29</v>
      </c>
      <c r="AD825" s="34" t="s">
        <v>54</v>
      </c>
      <c r="AE825" s="33">
        <v>32.15</v>
      </c>
      <c r="AN825" s="7" t="s">
        <v>54</v>
      </c>
      <c r="AO825" s="7" t="s">
        <v>55</v>
      </c>
      <c r="AP825" s="7" t="s">
        <v>56</v>
      </c>
      <c r="AT825" s="47" t="s">
        <v>57</v>
      </c>
      <c r="AU825" s="47" t="s">
        <v>57</v>
      </c>
    </row>
    <row r="826" spans="1:47">
      <c r="A826" s="4" t="s">
        <v>48</v>
      </c>
      <c r="C826" s="21"/>
      <c r="D826" s="22" t="s">
        <v>49</v>
      </c>
      <c r="G826" s="23">
        <v>45088</v>
      </c>
      <c r="H826" s="24" t="s">
        <v>2497</v>
      </c>
      <c r="J826" s="28" t="s">
        <v>51</v>
      </c>
      <c r="L826" s="24" t="s">
        <v>2498</v>
      </c>
      <c r="M826" s="1" t="str">
        <f>"342122195506050213"</f>
        <v>342122195506050213</v>
      </c>
      <c r="N826" s="24" t="s">
        <v>2498</v>
      </c>
      <c r="O826" s="1" t="str">
        <f>"342122195506050213"</f>
        <v>342122195506050213</v>
      </c>
      <c r="P826" s="23" t="s">
        <v>2499</v>
      </c>
      <c r="Q826" s="23">
        <v>45089</v>
      </c>
      <c r="R826" s="32">
        <v>45455</v>
      </c>
      <c r="V826" s="33">
        <v>50</v>
      </c>
      <c r="W826" s="28">
        <v>64.29</v>
      </c>
      <c r="X826" s="34" t="s">
        <v>54</v>
      </c>
      <c r="Y826" s="33">
        <v>32.15</v>
      </c>
      <c r="AC826" s="28">
        <v>64.29</v>
      </c>
      <c r="AD826" s="34" t="s">
        <v>54</v>
      </c>
      <c r="AE826" s="33">
        <v>32.15</v>
      </c>
      <c r="AN826" s="7" t="s">
        <v>54</v>
      </c>
      <c r="AO826" s="7" t="s">
        <v>55</v>
      </c>
      <c r="AP826" s="7" t="s">
        <v>56</v>
      </c>
      <c r="AT826" s="47" t="s">
        <v>57</v>
      </c>
      <c r="AU826" s="47" t="s">
        <v>57</v>
      </c>
    </row>
    <row r="827" spans="1:47">
      <c r="A827" s="4" t="s">
        <v>48</v>
      </c>
      <c r="C827" s="21"/>
      <c r="D827" s="22" t="s">
        <v>49</v>
      </c>
      <c r="G827" s="23">
        <v>45090</v>
      </c>
      <c r="H827" s="24" t="s">
        <v>2500</v>
      </c>
      <c r="J827" s="28" t="s">
        <v>51</v>
      </c>
      <c r="L827" s="24" t="s">
        <v>2501</v>
      </c>
      <c r="M827" s="1" t="str">
        <f>"341221199201124177"</f>
        <v>341221199201124177</v>
      </c>
      <c r="N827" s="24" t="s">
        <v>2501</v>
      </c>
      <c r="O827" s="1" t="str">
        <f>"341221199201124177"</f>
        <v>341221199201124177</v>
      </c>
      <c r="P827" s="23" t="s">
        <v>2502</v>
      </c>
      <c r="Q827" s="23">
        <v>45091</v>
      </c>
      <c r="R827" s="32">
        <v>45457</v>
      </c>
      <c r="V827" s="33">
        <v>50</v>
      </c>
      <c r="W827" s="28">
        <v>64.29</v>
      </c>
      <c r="X827" s="34" t="s">
        <v>54</v>
      </c>
      <c r="Y827" s="33">
        <v>32.15</v>
      </c>
      <c r="AC827" s="28">
        <v>64.29</v>
      </c>
      <c r="AD827" s="34" t="s">
        <v>54</v>
      </c>
      <c r="AE827" s="33">
        <v>32.15</v>
      </c>
      <c r="AN827" s="7" t="s">
        <v>54</v>
      </c>
      <c r="AO827" s="7" t="s">
        <v>55</v>
      </c>
      <c r="AP827" s="7" t="s">
        <v>56</v>
      </c>
      <c r="AT827" s="47" t="s">
        <v>57</v>
      </c>
      <c r="AU827" s="47" t="s">
        <v>57</v>
      </c>
    </row>
    <row r="828" spans="1:47">
      <c r="A828" s="4" t="s">
        <v>48</v>
      </c>
      <c r="C828" s="21"/>
      <c r="D828" s="22" t="s">
        <v>49</v>
      </c>
      <c r="G828" s="23">
        <v>45089</v>
      </c>
      <c r="H828" s="24" t="s">
        <v>2503</v>
      </c>
      <c r="J828" s="28" t="s">
        <v>51</v>
      </c>
      <c r="L828" s="24" t="s">
        <v>2504</v>
      </c>
      <c r="M828" s="1" t="str">
        <f>"13108219940823582X"</f>
        <v>13108219940823582X</v>
      </c>
      <c r="N828" s="24" t="s">
        <v>2504</v>
      </c>
      <c r="O828" s="1" t="str">
        <f>"13108219940823582X"</f>
        <v>13108219940823582X</v>
      </c>
      <c r="P828" s="23" t="s">
        <v>2505</v>
      </c>
      <c r="Q828" s="23">
        <v>45090</v>
      </c>
      <c r="R828" s="32">
        <v>45456</v>
      </c>
      <c r="V828" s="33">
        <v>50</v>
      </c>
      <c r="W828" s="28">
        <v>64.29</v>
      </c>
      <c r="X828" s="34" t="s">
        <v>54</v>
      </c>
      <c r="Y828" s="33">
        <v>32.15</v>
      </c>
      <c r="AC828" s="28">
        <v>64.29</v>
      </c>
      <c r="AD828" s="34" t="s">
        <v>54</v>
      </c>
      <c r="AE828" s="33">
        <v>32.15</v>
      </c>
      <c r="AN828" s="7" t="s">
        <v>54</v>
      </c>
      <c r="AO828" s="7" t="s">
        <v>55</v>
      </c>
      <c r="AP828" s="7" t="s">
        <v>56</v>
      </c>
      <c r="AT828" s="47" t="s">
        <v>57</v>
      </c>
      <c r="AU828" s="47" t="s">
        <v>57</v>
      </c>
    </row>
    <row r="829" spans="1:47">
      <c r="A829" s="4" t="s">
        <v>48</v>
      </c>
      <c r="C829" s="21"/>
      <c r="D829" s="22" t="s">
        <v>49</v>
      </c>
      <c r="G829" s="23">
        <v>45090</v>
      </c>
      <c r="H829" s="24" t="s">
        <v>2506</v>
      </c>
      <c r="J829" s="28" t="s">
        <v>51</v>
      </c>
      <c r="L829" s="24" t="s">
        <v>2507</v>
      </c>
      <c r="M829" s="1" t="str">
        <f>"410621198403072015"</f>
        <v>410621198403072015</v>
      </c>
      <c r="N829" s="24" t="s">
        <v>2507</v>
      </c>
      <c r="O829" s="1" t="str">
        <f>"410621198403072015"</f>
        <v>410621198403072015</v>
      </c>
      <c r="P829" s="23" t="s">
        <v>2508</v>
      </c>
      <c r="Q829" s="23">
        <v>45091</v>
      </c>
      <c r="R829" s="32">
        <v>45457</v>
      </c>
      <c r="V829" s="33">
        <v>50</v>
      </c>
      <c r="W829" s="28">
        <v>64.29</v>
      </c>
      <c r="X829" s="34" t="s">
        <v>54</v>
      </c>
      <c r="Y829" s="33">
        <v>32.15</v>
      </c>
      <c r="AC829" s="28">
        <v>64.29</v>
      </c>
      <c r="AD829" s="34" t="s">
        <v>54</v>
      </c>
      <c r="AE829" s="33">
        <v>32.15</v>
      </c>
      <c r="AN829" s="7" t="s">
        <v>54</v>
      </c>
      <c r="AO829" s="7" t="s">
        <v>55</v>
      </c>
      <c r="AP829" s="7" t="s">
        <v>56</v>
      </c>
      <c r="AT829" s="47" t="s">
        <v>57</v>
      </c>
      <c r="AU829" s="47" t="s">
        <v>57</v>
      </c>
    </row>
    <row r="830" spans="1:47">
      <c r="A830" s="4" t="s">
        <v>48</v>
      </c>
      <c r="C830" s="21"/>
      <c r="D830" s="22" t="s">
        <v>49</v>
      </c>
      <c r="G830" s="23">
        <v>45098</v>
      </c>
      <c r="H830" s="24" t="s">
        <v>2509</v>
      </c>
      <c r="J830" s="28" t="s">
        <v>51</v>
      </c>
      <c r="L830" s="24" t="s">
        <v>2510</v>
      </c>
      <c r="M830" s="1" t="str">
        <f>"372526198209191040"</f>
        <v>372526198209191040</v>
      </c>
      <c r="N830" s="24" t="s">
        <v>2510</v>
      </c>
      <c r="O830" s="1" t="str">
        <f>"372526198209191040"</f>
        <v>372526198209191040</v>
      </c>
      <c r="P830" s="23" t="s">
        <v>2511</v>
      </c>
      <c r="Q830" s="23">
        <v>45099</v>
      </c>
      <c r="R830" s="32">
        <v>45465</v>
      </c>
      <c r="V830" s="33">
        <v>100</v>
      </c>
      <c r="W830" s="28">
        <v>64.29</v>
      </c>
      <c r="X830" s="34" t="s">
        <v>54</v>
      </c>
      <c r="Y830" s="33">
        <v>64.29</v>
      </c>
      <c r="AC830" s="28">
        <v>64.29</v>
      </c>
      <c r="AD830" s="34" t="s">
        <v>54</v>
      </c>
      <c r="AE830" s="33">
        <v>64.29</v>
      </c>
      <c r="AN830" s="7" t="s">
        <v>54</v>
      </c>
      <c r="AO830" s="7" t="s">
        <v>55</v>
      </c>
      <c r="AP830" s="7" t="s">
        <v>56</v>
      </c>
      <c r="AT830" s="47" t="s">
        <v>57</v>
      </c>
      <c r="AU830" s="47" t="s">
        <v>57</v>
      </c>
    </row>
    <row r="831" spans="1:47">
      <c r="A831" s="4" t="s">
        <v>48</v>
      </c>
      <c r="C831" s="21"/>
      <c r="D831" s="22" t="s">
        <v>49</v>
      </c>
      <c r="G831" s="23">
        <v>45098</v>
      </c>
      <c r="H831" s="24" t="s">
        <v>2512</v>
      </c>
      <c r="J831" s="28" t="s">
        <v>51</v>
      </c>
      <c r="L831" s="24" t="s">
        <v>2513</v>
      </c>
      <c r="M831" s="1" t="str">
        <f>"341226198606150426"</f>
        <v>341226198606150426</v>
      </c>
      <c r="N831" s="24" t="s">
        <v>2513</v>
      </c>
      <c r="O831" s="1" t="str">
        <f>"341226198606150426"</f>
        <v>341226198606150426</v>
      </c>
      <c r="P831" s="23" t="s">
        <v>2514</v>
      </c>
      <c r="Q831" s="23">
        <v>45221</v>
      </c>
      <c r="R831" s="32">
        <v>45587</v>
      </c>
      <c r="V831" s="33">
        <v>100</v>
      </c>
      <c r="W831" s="28">
        <v>64.29</v>
      </c>
      <c r="X831" s="34" t="s">
        <v>54</v>
      </c>
      <c r="Y831" s="33">
        <v>64.29</v>
      </c>
      <c r="AC831" s="28">
        <v>64.29</v>
      </c>
      <c r="AD831" s="34" t="s">
        <v>54</v>
      </c>
      <c r="AE831" s="33">
        <v>64.29</v>
      </c>
      <c r="AN831" s="7" t="s">
        <v>54</v>
      </c>
      <c r="AO831" s="7" t="s">
        <v>55</v>
      </c>
      <c r="AP831" s="7" t="s">
        <v>56</v>
      </c>
      <c r="AT831" s="47" t="s">
        <v>57</v>
      </c>
      <c r="AU831" s="47" t="s">
        <v>57</v>
      </c>
    </row>
    <row r="832" spans="1:47">
      <c r="A832" s="4" t="s">
        <v>48</v>
      </c>
      <c r="C832" s="21"/>
      <c r="D832" s="22" t="s">
        <v>49</v>
      </c>
      <c r="G832" s="23">
        <v>45098</v>
      </c>
      <c r="H832" s="24" t="s">
        <v>2515</v>
      </c>
      <c r="J832" s="28" t="s">
        <v>51</v>
      </c>
      <c r="L832" s="24" t="s">
        <v>816</v>
      </c>
      <c r="M832" s="1" t="str">
        <f>"341221199012258993"</f>
        <v>341221199012258993</v>
      </c>
      <c r="N832" s="24" t="s">
        <v>816</v>
      </c>
      <c r="O832" s="1" t="str">
        <f>"341221199012258993"</f>
        <v>341221199012258993</v>
      </c>
      <c r="P832" s="23" t="s">
        <v>2516</v>
      </c>
      <c r="Q832" s="23">
        <v>45112</v>
      </c>
      <c r="R832" s="32">
        <v>45478</v>
      </c>
      <c r="V832" s="33">
        <v>100</v>
      </c>
      <c r="W832" s="28">
        <v>64.29</v>
      </c>
      <c r="X832" s="34" t="s">
        <v>54</v>
      </c>
      <c r="Y832" s="33">
        <v>64.29</v>
      </c>
      <c r="AC832" s="28">
        <v>64.29</v>
      </c>
      <c r="AD832" s="34" t="s">
        <v>54</v>
      </c>
      <c r="AE832" s="33">
        <v>64.29</v>
      </c>
      <c r="AN832" s="7" t="s">
        <v>54</v>
      </c>
      <c r="AO832" s="7" t="s">
        <v>55</v>
      </c>
      <c r="AP832" s="7" t="s">
        <v>56</v>
      </c>
      <c r="AT832" s="47" t="s">
        <v>57</v>
      </c>
      <c r="AU832" s="47" t="s">
        <v>57</v>
      </c>
    </row>
    <row r="833" spans="1:47">
      <c r="A833" s="4" t="s">
        <v>48</v>
      </c>
      <c r="C833" s="21"/>
      <c r="D833" s="22" t="s">
        <v>49</v>
      </c>
      <c r="G833" s="23">
        <v>45098</v>
      </c>
      <c r="H833" s="24" t="s">
        <v>2517</v>
      </c>
      <c r="J833" s="28" t="s">
        <v>51</v>
      </c>
      <c r="L833" s="24" t="s">
        <v>2518</v>
      </c>
      <c r="M833" s="1" t="str">
        <f>"610321198506162583"</f>
        <v>610321198506162583</v>
      </c>
      <c r="N833" s="24" t="s">
        <v>2518</v>
      </c>
      <c r="O833" s="1" t="str">
        <f>"610321198506162583"</f>
        <v>610321198506162583</v>
      </c>
      <c r="P833" s="23" t="s">
        <v>2519</v>
      </c>
      <c r="Q833" s="23">
        <v>45099</v>
      </c>
      <c r="R833" s="32">
        <v>45465</v>
      </c>
      <c r="V833" s="33">
        <v>100</v>
      </c>
      <c r="W833" s="28">
        <v>64.29</v>
      </c>
      <c r="X833" s="34" t="s">
        <v>54</v>
      </c>
      <c r="Y833" s="33">
        <v>64.29</v>
      </c>
      <c r="AC833" s="28">
        <v>64.29</v>
      </c>
      <c r="AD833" s="34" t="s">
        <v>54</v>
      </c>
      <c r="AE833" s="33">
        <v>64.29</v>
      </c>
      <c r="AN833" s="7" t="s">
        <v>54</v>
      </c>
      <c r="AO833" s="7" t="s">
        <v>55</v>
      </c>
      <c r="AP833" s="7" t="s">
        <v>56</v>
      </c>
      <c r="AT833" s="47" t="s">
        <v>57</v>
      </c>
      <c r="AU833" s="47" t="s">
        <v>57</v>
      </c>
    </row>
    <row r="834" spans="1:47">
      <c r="A834" s="4" t="s">
        <v>48</v>
      </c>
      <c r="C834" s="21"/>
      <c r="D834" s="22" t="s">
        <v>49</v>
      </c>
      <c r="G834" s="23">
        <v>45096</v>
      </c>
      <c r="H834" s="24" t="s">
        <v>2520</v>
      </c>
      <c r="J834" s="28" t="s">
        <v>51</v>
      </c>
      <c r="L834" s="24" t="s">
        <v>2521</v>
      </c>
      <c r="M834" s="1" t="str">
        <f>"341221197901104653"</f>
        <v>341221197901104653</v>
      </c>
      <c r="N834" s="24" t="s">
        <v>2521</v>
      </c>
      <c r="O834" s="1" t="str">
        <f>"341221197901104653"</f>
        <v>341221197901104653</v>
      </c>
      <c r="P834" s="23" t="s">
        <v>2522</v>
      </c>
      <c r="Q834" s="23">
        <v>45170</v>
      </c>
      <c r="R834" s="32">
        <v>45536</v>
      </c>
      <c r="V834" s="33">
        <v>100</v>
      </c>
      <c r="W834" s="28">
        <v>64.29</v>
      </c>
      <c r="X834" s="34" t="s">
        <v>54</v>
      </c>
      <c r="Y834" s="33">
        <v>64.29</v>
      </c>
      <c r="AC834" s="28">
        <v>64.29</v>
      </c>
      <c r="AD834" s="34" t="s">
        <v>54</v>
      </c>
      <c r="AE834" s="33">
        <v>64.29</v>
      </c>
      <c r="AN834" s="7" t="s">
        <v>54</v>
      </c>
      <c r="AO834" s="7" t="s">
        <v>55</v>
      </c>
      <c r="AP834" s="7" t="s">
        <v>56</v>
      </c>
      <c r="AT834" s="47" t="s">
        <v>57</v>
      </c>
      <c r="AU834" s="47" t="s">
        <v>57</v>
      </c>
    </row>
    <row r="835" spans="1:47">
      <c r="A835" s="4" t="s">
        <v>48</v>
      </c>
      <c r="C835" s="21"/>
      <c r="D835" s="22" t="s">
        <v>49</v>
      </c>
      <c r="G835" s="23">
        <v>45090</v>
      </c>
      <c r="H835" s="24" t="s">
        <v>2523</v>
      </c>
      <c r="J835" s="28" t="s">
        <v>51</v>
      </c>
      <c r="L835" s="24" t="s">
        <v>2524</v>
      </c>
      <c r="M835" s="1" t="str">
        <f>"342128197408020325"</f>
        <v>342128197408020325</v>
      </c>
      <c r="N835" s="24" t="s">
        <v>2524</v>
      </c>
      <c r="O835" s="1" t="str">
        <f>"342128197408020325"</f>
        <v>342128197408020325</v>
      </c>
      <c r="P835" s="23" t="s">
        <v>2525</v>
      </c>
      <c r="Q835" s="23">
        <v>45230</v>
      </c>
      <c r="R835" s="32">
        <v>45596</v>
      </c>
      <c r="V835" s="33">
        <v>100</v>
      </c>
      <c r="W835" s="28">
        <v>64.29</v>
      </c>
      <c r="X835" s="34" t="s">
        <v>54</v>
      </c>
      <c r="Y835" s="33">
        <v>64.29</v>
      </c>
      <c r="AC835" s="28">
        <v>64.29</v>
      </c>
      <c r="AD835" s="34" t="s">
        <v>54</v>
      </c>
      <c r="AE835" s="33">
        <v>64.29</v>
      </c>
      <c r="AN835" s="7" t="s">
        <v>54</v>
      </c>
      <c r="AO835" s="7" t="s">
        <v>55</v>
      </c>
      <c r="AP835" s="7" t="s">
        <v>56</v>
      </c>
      <c r="AT835" s="47" t="s">
        <v>57</v>
      </c>
      <c r="AU835" s="47" t="s">
        <v>57</v>
      </c>
    </row>
    <row r="836" spans="1:47">
      <c r="A836" s="4" t="s">
        <v>48</v>
      </c>
      <c r="C836" s="21"/>
      <c r="D836" s="22" t="s">
        <v>49</v>
      </c>
      <c r="G836" s="23">
        <v>45089</v>
      </c>
      <c r="H836" s="24" t="s">
        <v>2526</v>
      </c>
      <c r="J836" s="28" t="s">
        <v>51</v>
      </c>
      <c r="L836" s="24" t="s">
        <v>2527</v>
      </c>
      <c r="M836" s="1" t="str">
        <f>"341221198011103426"</f>
        <v>341221198011103426</v>
      </c>
      <c r="N836" s="24" t="s">
        <v>2527</v>
      </c>
      <c r="O836" s="1" t="str">
        <f>"341221198011103426"</f>
        <v>341221198011103426</v>
      </c>
      <c r="P836" s="23" t="s">
        <v>2528</v>
      </c>
      <c r="Q836" s="23">
        <v>45212</v>
      </c>
      <c r="R836" s="32">
        <v>45578</v>
      </c>
      <c r="V836" s="33">
        <v>100</v>
      </c>
      <c r="W836" s="28">
        <v>64.29</v>
      </c>
      <c r="X836" s="34" t="s">
        <v>54</v>
      </c>
      <c r="Y836" s="33">
        <v>64.29</v>
      </c>
      <c r="AC836" s="28">
        <v>64.29</v>
      </c>
      <c r="AD836" s="34" t="s">
        <v>54</v>
      </c>
      <c r="AE836" s="33">
        <v>64.29</v>
      </c>
      <c r="AN836" s="7" t="s">
        <v>54</v>
      </c>
      <c r="AO836" s="7" t="s">
        <v>55</v>
      </c>
      <c r="AP836" s="7" t="s">
        <v>56</v>
      </c>
      <c r="AT836" s="47" t="s">
        <v>57</v>
      </c>
      <c r="AU836" s="47" t="s">
        <v>57</v>
      </c>
    </row>
    <row r="837" spans="1:47">
      <c r="A837" s="4" t="s">
        <v>48</v>
      </c>
      <c r="C837" s="21"/>
      <c r="D837" s="22" t="s">
        <v>49</v>
      </c>
      <c r="G837" s="23">
        <v>45090</v>
      </c>
      <c r="H837" s="24" t="s">
        <v>2529</v>
      </c>
      <c r="J837" s="28" t="s">
        <v>51</v>
      </c>
      <c r="L837" s="24" t="s">
        <v>2530</v>
      </c>
      <c r="M837" s="1" t="str">
        <f>"341221197109011103"</f>
        <v>341221197109011103</v>
      </c>
      <c r="N837" s="24" t="s">
        <v>2530</v>
      </c>
      <c r="O837" s="1" t="str">
        <f>"341221197109011103"</f>
        <v>341221197109011103</v>
      </c>
      <c r="P837" s="23" t="s">
        <v>2531</v>
      </c>
      <c r="Q837" s="23">
        <v>45213</v>
      </c>
      <c r="R837" s="32">
        <v>45579</v>
      </c>
      <c r="V837" s="33">
        <v>100</v>
      </c>
      <c r="W837" s="28">
        <v>64.29</v>
      </c>
      <c r="X837" s="34" t="s">
        <v>54</v>
      </c>
      <c r="Y837" s="33">
        <v>64.29</v>
      </c>
      <c r="AC837" s="28">
        <v>64.29</v>
      </c>
      <c r="AD837" s="34" t="s">
        <v>54</v>
      </c>
      <c r="AE837" s="33">
        <v>64.29</v>
      </c>
      <c r="AN837" s="7" t="s">
        <v>54</v>
      </c>
      <c r="AO837" s="7" t="s">
        <v>55</v>
      </c>
      <c r="AP837" s="7" t="s">
        <v>56</v>
      </c>
      <c r="AT837" s="47" t="s">
        <v>57</v>
      </c>
      <c r="AU837" s="47" t="s">
        <v>57</v>
      </c>
    </row>
    <row r="838" spans="1:47">
      <c r="A838" s="4" t="s">
        <v>48</v>
      </c>
      <c r="C838" s="21"/>
      <c r="D838" s="22" t="s">
        <v>49</v>
      </c>
      <c r="G838" s="23">
        <v>45090</v>
      </c>
      <c r="H838" s="24" t="s">
        <v>2532</v>
      </c>
      <c r="J838" s="28" t="s">
        <v>51</v>
      </c>
      <c r="L838" s="24" t="s">
        <v>2533</v>
      </c>
      <c r="M838" s="1" t="str">
        <f>"341225199208053119"</f>
        <v>341225199208053119</v>
      </c>
      <c r="N838" s="24" t="s">
        <v>2533</v>
      </c>
      <c r="O838" s="1" t="str">
        <f>"341225199208053119"</f>
        <v>341225199208053119</v>
      </c>
      <c r="P838" s="23" t="s">
        <v>2534</v>
      </c>
      <c r="Q838" s="23">
        <v>45091</v>
      </c>
      <c r="R838" s="32">
        <v>45457</v>
      </c>
      <c r="V838" s="33">
        <v>100</v>
      </c>
      <c r="W838" s="28">
        <v>64.29</v>
      </c>
      <c r="X838" s="34" t="s">
        <v>54</v>
      </c>
      <c r="Y838" s="33">
        <v>64.29</v>
      </c>
      <c r="AC838" s="28">
        <v>64.29</v>
      </c>
      <c r="AD838" s="34" t="s">
        <v>54</v>
      </c>
      <c r="AE838" s="33">
        <v>64.29</v>
      </c>
      <c r="AN838" s="7" t="s">
        <v>54</v>
      </c>
      <c r="AO838" s="7" t="s">
        <v>55</v>
      </c>
      <c r="AP838" s="7" t="s">
        <v>56</v>
      </c>
      <c r="AT838" s="47" t="s">
        <v>57</v>
      </c>
      <c r="AU838" s="47" t="s">
        <v>57</v>
      </c>
    </row>
    <row r="839" spans="1:47">
      <c r="A839" s="4" t="s">
        <v>48</v>
      </c>
      <c r="C839" s="21"/>
      <c r="D839" s="22" t="s">
        <v>49</v>
      </c>
      <c r="G839" s="23">
        <v>45089</v>
      </c>
      <c r="H839" s="24" t="s">
        <v>2535</v>
      </c>
      <c r="J839" s="28" t="s">
        <v>51</v>
      </c>
      <c r="L839" s="24" t="s">
        <v>2536</v>
      </c>
      <c r="M839" s="1" t="str">
        <f>"341221198712203139"</f>
        <v>341221198712203139</v>
      </c>
      <c r="N839" s="24" t="s">
        <v>2536</v>
      </c>
      <c r="O839" s="1" t="str">
        <f>"341221198712203139"</f>
        <v>341221198712203139</v>
      </c>
      <c r="P839" s="23" t="s">
        <v>2537</v>
      </c>
      <c r="Q839" s="23">
        <v>45212</v>
      </c>
      <c r="R839" s="32">
        <v>45578</v>
      </c>
      <c r="V839" s="33">
        <v>100</v>
      </c>
      <c r="W839" s="28">
        <v>64.29</v>
      </c>
      <c r="X839" s="34" t="s">
        <v>54</v>
      </c>
      <c r="Y839" s="33">
        <v>64.29</v>
      </c>
      <c r="AC839" s="28">
        <v>64.29</v>
      </c>
      <c r="AD839" s="34" t="s">
        <v>54</v>
      </c>
      <c r="AE839" s="33">
        <v>64.29</v>
      </c>
      <c r="AN839" s="7" t="s">
        <v>54</v>
      </c>
      <c r="AO839" s="7" t="s">
        <v>55</v>
      </c>
      <c r="AP839" s="7" t="s">
        <v>56</v>
      </c>
      <c r="AT839" s="47" t="s">
        <v>57</v>
      </c>
      <c r="AU839" s="47" t="s">
        <v>57</v>
      </c>
    </row>
    <row r="840" spans="1:47">
      <c r="A840" s="4" t="s">
        <v>48</v>
      </c>
      <c r="C840" s="21"/>
      <c r="D840" s="22" t="s">
        <v>49</v>
      </c>
      <c r="G840" s="23">
        <v>45090</v>
      </c>
      <c r="H840" s="24" t="s">
        <v>2538</v>
      </c>
      <c r="J840" s="28" t="s">
        <v>51</v>
      </c>
      <c r="L840" s="24" t="s">
        <v>2539</v>
      </c>
      <c r="M840" s="1" t="str">
        <f>"341221198503216988"</f>
        <v>341221198503216988</v>
      </c>
      <c r="N840" s="24" t="s">
        <v>2539</v>
      </c>
      <c r="O840" s="1" t="str">
        <f>"341221198503216988"</f>
        <v>341221198503216988</v>
      </c>
      <c r="P840" s="23" t="s">
        <v>2540</v>
      </c>
      <c r="Q840" s="23">
        <v>45091</v>
      </c>
      <c r="R840" s="32">
        <v>45457</v>
      </c>
      <c r="V840" s="33">
        <v>100</v>
      </c>
      <c r="W840" s="28">
        <v>64.29</v>
      </c>
      <c r="X840" s="34" t="s">
        <v>54</v>
      </c>
      <c r="Y840" s="33">
        <v>64.29</v>
      </c>
      <c r="AC840" s="28">
        <v>64.29</v>
      </c>
      <c r="AD840" s="34" t="s">
        <v>54</v>
      </c>
      <c r="AE840" s="33">
        <v>64.29</v>
      </c>
      <c r="AN840" s="7" t="s">
        <v>54</v>
      </c>
      <c r="AO840" s="7" t="s">
        <v>55</v>
      </c>
      <c r="AP840" s="7" t="s">
        <v>56</v>
      </c>
      <c r="AT840" s="47" t="s">
        <v>57</v>
      </c>
      <c r="AU840" s="47" t="s">
        <v>57</v>
      </c>
    </row>
    <row r="841" spans="1:47">
      <c r="A841" s="4" t="s">
        <v>48</v>
      </c>
      <c r="C841" s="21"/>
      <c r="D841" s="22" t="s">
        <v>49</v>
      </c>
      <c r="G841" s="23">
        <v>45076</v>
      </c>
      <c r="H841" s="24" t="s">
        <v>2541</v>
      </c>
      <c r="J841" s="28" t="s">
        <v>51</v>
      </c>
      <c r="L841" s="24" t="s">
        <v>2542</v>
      </c>
      <c r="M841" s="1" t="str">
        <f>"341226199008176110"</f>
        <v>341226199008176110</v>
      </c>
      <c r="N841" s="24" t="s">
        <v>2542</v>
      </c>
      <c r="O841" s="1" t="str">
        <f>"341226199008176110"</f>
        <v>341226199008176110</v>
      </c>
      <c r="P841" s="23" t="s">
        <v>2543</v>
      </c>
      <c r="Q841" s="23">
        <v>45077</v>
      </c>
      <c r="R841" s="32">
        <v>45443</v>
      </c>
      <c r="V841" s="33">
        <v>100</v>
      </c>
      <c r="W841" s="28">
        <v>64.29</v>
      </c>
      <c r="X841" s="34" t="s">
        <v>54</v>
      </c>
      <c r="Y841" s="33">
        <v>64.29</v>
      </c>
      <c r="AC841" s="28">
        <v>64.29</v>
      </c>
      <c r="AD841" s="34" t="s">
        <v>54</v>
      </c>
      <c r="AE841" s="33">
        <v>64.29</v>
      </c>
      <c r="AN841" s="7" t="s">
        <v>54</v>
      </c>
      <c r="AO841" s="7" t="s">
        <v>55</v>
      </c>
      <c r="AP841" s="7" t="s">
        <v>56</v>
      </c>
      <c r="AT841" s="47" t="s">
        <v>57</v>
      </c>
      <c r="AU841" s="47" t="s">
        <v>57</v>
      </c>
    </row>
    <row r="842" spans="1:47">
      <c r="A842" s="4" t="s">
        <v>48</v>
      </c>
      <c r="C842" s="21"/>
      <c r="D842" s="22" t="s">
        <v>49</v>
      </c>
      <c r="G842" s="23">
        <v>45075</v>
      </c>
      <c r="H842" s="24" t="s">
        <v>2544</v>
      </c>
      <c r="J842" s="28" t="s">
        <v>51</v>
      </c>
      <c r="L842" s="24" t="s">
        <v>2545</v>
      </c>
      <c r="M842" s="1" t="str">
        <f>"341204200301170014"</f>
        <v>341204200301170014</v>
      </c>
      <c r="N842" s="24" t="s">
        <v>2545</v>
      </c>
      <c r="O842" s="1" t="str">
        <f>"341204200301170014"</f>
        <v>341204200301170014</v>
      </c>
      <c r="P842" s="23" t="s">
        <v>2546</v>
      </c>
      <c r="Q842" s="23">
        <v>45076</v>
      </c>
      <c r="R842" s="32">
        <v>45442</v>
      </c>
      <c r="V842" s="33">
        <v>100</v>
      </c>
      <c r="W842" s="28">
        <v>64.29</v>
      </c>
      <c r="X842" s="34" t="s">
        <v>54</v>
      </c>
      <c r="Y842" s="33">
        <v>64.29</v>
      </c>
      <c r="AC842" s="28">
        <v>64.29</v>
      </c>
      <c r="AD842" s="34" t="s">
        <v>54</v>
      </c>
      <c r="AE842" s="33">
        <v>64.29</v>
      </c>
      <c r="AN842" s="7" t="s">
        <v>54</v>
      </c>
      <c r="AO842" s="7" t="s">
        <v>55</v>
      </c>
      <c r="AP842" s="7" t="s">
        <v>56</v>
      </c>
      <c r="AT842" s="47" t="s">
        <v>57</v>
      </c>
      <c r="AU842" s="47" t="s">
        <v>57</v>
      </c>
    </row>
    <row r="843" spans="1:47">
      <c r="A843" s="4" t="s">
        <v>48</v>
      </c>
      <c r="C843" s="21"/>
      <c r="D843" s="22" t="s">
        <v>49</v>
      </c>
      <c r="G843" s="23">
        <v>45076</v>
      </c>
      <c r="H843" s="24" t="s">
        <v>2547</v>
      </c>
      <c r="J843" s="28" t="s">
        <v>51</v>
      </c>
      <c r="L843" s="24" t="s">
        <v>2548</v>
      </c>
      <c r="M843" s="1" t="str">
        <f>"342101195201100214"</f>
        <v>342101195201100214</v>
      </c>
      <c r="N843" s="24" t="s">
        <v>2548</v>
      </c>
      <c r="O843" s="1" t="str">
        <f>"342101195201100214"</f>
        <v>342101195201100214</v>
      </c>
      <c r="P843" s="23" t="s">
        <v>2549</v>
      </c>
      <c r="Q843" s="23">
        <v>45077</v>
      </c>
      <c r="R843" s="32">
        <v>45443</v>
      </c>
      <c r="V843" s="33">
        <v>100</v>
      </c>
      <c r="W843" s="28">
        <v>64.29</v>
      </c>
      <c r="X843" s="34" t="s">
        <v>54</v>
      </c>
      <c r="Y843" s="33">
        <v>64.29</v>
      </c>
      <c r="AC843" s="28">
        <v>64.29</v>
      </c>
      <c r="AD843" s="34" t="s">
        <v>54</v>
      </c>
      <c r="AE843" s="33">
        <v>64.29</v>
      </c>
      <c r="AN843" s="7" t="s">
        <v>54</v>
      </c>
      <c r="AO843" s="7" t="s">
        <v>55</v>
      </c>
      <c r="AP843" s="7" t="s">
        <v>56</v>
      </c>
      <c r="AT843" s="47" t="s">
        <v>57</v>
      </c>
      <c r="AU843" s="47" t="s">
        <v>57</v>
      </c>
    </row>
    <row r="844" spans="1:47">
      <c r="A844" s="4" t="s">
        <v>48</v>
      </c>
      <c r="C844" s="21"/>
      <c r="D844" s="22" t="s">
        <v>49</v>
      </c>
      <c r="G844" s="23">
        <v>45075</v>
      </c>
      <c r="H844" s="24" t="s">
        <v>2550</v>
      </c>
      <c r="J844" s="28" t="s">
        <v>51</v>
      </c>
      <c r="L844" s="24" t="s">
        <v>2551</v>
      </c>
      <c r="M844" s="1" t="str">
        <f>"13108219870730005X"</f>
        <v>13108219870730005X</v>
      </c>
      <c r="N844" s="24" t="s">
        <v>2551</v>
      </c>
      <c r="O844" s="1" t="str">
        <f>"13108219870730005X"</f>
        <v>13108219870730005X</v>
      </c>
      <c r="P844" s="23" t="s">
        <v>2552</v>
      </c>
      <c r="Q844" s="23">
        <v>45076</v>
      </c>
      <c r="R844" s="32">
        <v>45442</v>
      </c>
      <c r="V844" s="33">
        <v>100</v>
      </c>
      <c r="W844" s="28">
        <v>64.29</v>
      </c>
      <c r="X844" s="34" t="s">
        <v>54</v>
      </c>
      <c r="Y844" s="33">
        <v>64.29</v>
      </c>
      <c r="AC844" s="28">
        <v>64.29</v>
      </c>
      <c r="AD844" s="34" t="s">
        <v>54</v>
      </c>
      <c r="AE844" s="33">
        <v>64.29</v>
      </c>
      <c r="AN844" s="7" t="s">
        <v>54</v>
      </c>
      <c r="AO844" s="7" t="s">
        <v>55</v>
      </c>
      <c r="AP844" s="7" t="s">
        <v>56</v>
      </c>
      <c r="AT844" s="47" t="s">
        <v>57</v>
      </c>
      <c r="AU844" s="47" t="s">
        <v>57</v>
      </c>
    </row>
    <row r="845" spans="1:47">
      <c r="A845" s="4" t="s">
        <v>48</v>
      </c>
      <c r="C845" s="21"/>
      <c r="D845" s="22" t="s">
        <v>49</v>
      </c>
      <c r="G845" s="23">
        <v>45074</v>
      </c>
      <c r="H845" s="24" t="s">
        <v>2553</v>
      </c>
      <c r="J845" s="28" t="s">
        <v>51</v>
      </c>
      <c r="L845" s="24" t="s">
        <v>2554</v>
      </c>
      <c r="M845" s="1" t="str">
        <f>"330323196812110921"</f>
        <v>330323196812110921</v>
      </c>
      <c r="N845" s="24" t="s">
        <v>2554</v>
      </c>
      <c r="O845" s="1" t="str">
        <f>"330323196812110921"</f>
        <v>330323196812110921</v>
      </c>
      <c r="P845" s="23" t="s">
        <v>2555</v>
      </c>
      <c r="Q845" s="23">
        <v>45075</v>
      </c>
      <c r="R845" s="32">
        <v>45441</v>
      </c>
      <c r="V845" s="33">
        <v>100</v>
      </c>
      <c r="W845" s="28">
        <v>64.29</v>
      </c>
      <c r="X845" s="34" t="s">
        <v>54</v>
      </c>
      <c r="Y845" s="33">
        <v>64.29</v>
      </c>
      <c r="AC845" s="28">
        <v>64.29</v>
      </c>
      <c r="AD845" s="34" t="s">
        <v>54</v>
      </c>
      <c r="AE845" s="33">
        <v>64.29</v>
      </c>
      <c r="AN845" s="7" t="s">
        <v>54</v>
      </c>
      <c r="AO845" s="7" t="s">
        <v>55</v>
      </c>
      <c r="AP845" s="7" t="s">
        <v>56</v>
      </c>
      <c r="AT845" s="47" t="s">
        <v>57</v>
      </c>
      <c r="AU845" s="47" t="s">
        <v>57</v>
      </c>
    </row>
    <row r="846" spans="1:47">
      <c r="A846" s="4" t="s">
        <v>48</v>
      </c>
      <c r="C846" s="21"/>
      <c r="D846" s="22" t="s">
        <v>49</v>
      </c>
      <c r="G846" s="23">
        <v>45074</v>
      </c>
      <c r="H846" s="24" t="s">
        <v>2556</v>
      </c>
      <c r="J846" s="28" t="s">
        <v>51</v>
      </c>
      <c r="L846" s="24" t="s">
        <v>2557</v>
      </c>
      <c r="M846" s="1" t="str">
        <f>"342101197104121020"</f>
        <v>342101197104121020</v>
      </c>
      <c r="N846" s="24" t="s">
        <v>2557</v>
      </c>
      <c r="O846" s="1" t="str">
        <f>"342101197104121020"</f>
        <v>342101197104121020</v>
      </c>
      <c r="P846" s="23" t="s">
        <v>2558</v>
      </c>
      <c r="Q846" s="23">
        <v>45075</v>
      </c>
      <c r="R846" s="32">
        <v>45441</v>
      </c>
      <c r="V846" s="33">
        <v>100</v>
      </c>
      <c r="W846" s="28">
        <v>64.29</v>
      </c>
      <c r="X846" s="34" t="s">
        <v>54</v>
      </c>
      <c r="Y846" s="33">
        <v>64.29</v>
      </c>
      <c r="AC846" s="28">
        <v>64.29</v>
      </c>
      <c r="AD846" s="34" t="s">
        <v>54</v>
      </c>
      <c r="AE846" s="33">
        <v>64.29</v>
      </c>
      <c r="AN846" s="7" t="s">
        <v>54</v>
      </c>
      <c r="AO846" s="7" t="s">
        <v>55</v>
      </c>
      <c r="AP846" s="7" t="s">
        <v>56</v>
      </c>
      <c r="AT846" s="47" t="s">
        <v>57</v>
      </c>
      <c r="AU846" s="47" t="s">
        <v>57</v>
      </c>
    </row>
    <row r="847" spans="1:47">
      <c r="A847" s="4" t="s">
        <v>48</v>
      </c>
      <c r="C847" s="21"/>
      <c r="D847" s="22" t="s">
        <v>49</v>
      </c>
      <c r="G847" s="23">
        <v>45076</v>
      </c>
      <c r="H847" s="24" t="s">
        <v>2559</v>
      </c>
      <c r="J847" s="28" t="s">
        <v>51</v>
      </c>
      <c r="L847" s="24" t="s">
        <v>2560</v>
      </c>
      <c r="M847" s="1" t="str">
        <f>"34120419951008263X"</f>
        <v>34120419951008263X</v>
      </c>
      <c r="N847" s="24" t="s">
        <v>2560</v>
      </c>
      <c r="O847" s="1" t="str">
        <f>"34120419951008263X"</f>
        <v>34120419951008263X</v>
      </c>
      <c r="P847" s="23" t="s">
        <v>2561</v>
      </c>
      <c r="Q847" s="23">
        <v>45077</v>
      </c>
      <c r="R847" s="32">
        <v>45443</v>
      </c>
      <c r="V847" s="33">
        <v>100</v>
      </c>
      <c r="W847" s="28">
        <v>64.29</v>
      </c>
      <c r="X847" s="34" t="s">
        <v>54</v>
      </c>
      <c r="Y847" s="33">
        <v>64.29</v>
      </c>
      <c r="AC847" s="28">
        <v>64.29</v>
      </c>
      <c r="AD847" s="34" t="s">
        <v>54</v>
      </c>
      <c r="AE847" s="33">
        <v>64.29</v>
      </c>
      <c r="AN847" s="7" t="s">
        <v>54</v>
      </c>
      <c r="AO847" s="7" t="s">
        <v>55</v>
      </c>
      <c r="AP847" s="7" t="s">
        <v>56</v>
      </c>
      <c r="AT847" s="47" t="s">
        <v>57</v>
      </c>
      <c r="AU847" s="47" t="s">
        <v>57</v>
      </c>
    </row>
    <row r="848" spans="1:47">
      <c r="A848" s="4" t="s">
        <v>48</v>
      </c>
      <c r="C848" s="21"/>
      <c r="D848" s="22" t="s">
        <v>49</v>
      </c>
      <c r="G848" s="23">
        <v>45088</v>
      </c>
      <c r="H848" s="24" t="s">
        <v>2562</v>
      </c>
      <c r="J848" s="28" t="s">
        <v>51</v>
      </c>
      <c r="L848" s="24" t="s">
        <v>2563</v>
      </c>
      <c r="M848" s="1" t="str">
        <f>"341222199107168719"</f>
        <v>341222199107168719</v>
      </c>
      <c r="N848" s="24" t="s">
        <v>2563</v>
      </c>
      <c r="O848" s="1" t="str">
        <f>"341222199107168719"</f>
        <v>341222199107168719</v>
      </c>
      <c r="P848" s="23" t="s">
        <v>2564</v>
      </c>
      <c r="Q848" s="23">
        <v>45089</v>
      </c>
      <c r="R848" s="32">
        <v>45455</v>
      </c>
      <c r="V848" s="33">
        <v>600</v>
      </c>
      <c r="W848" s="28">
        <v>64.29</v>
      </c>
      <c r="X848" s="34" t="s">
        <v>54</v>
      </c>
      <c r="Y848" s="33">
        <v>385.74</v>
      </c>
      <c r="AC848" s="28">
        <v>64.29</v>
      </c>
      <c r="AD848" s="34" t="s">
        <v>54</v>
      </c>
      <c r="AE848" s="33">
        <v>385.74</v>
      </c>
      <c r="AN848" s="7" t="s">
        <v>54</v>
      </c>
      <c r="AO848" s="7" t="s">
        <v>55</v>
      </c>
      <c r="AP848" s="7" t="s">
        <v>56</v>
      </c>
      <c r="AT848" s="47" t="s">
        <v>57</v>
      </c>
      <c r="AU848" s="47" t="s">
        <v>57</v>
      </c>
    </row>
    <row r="849" spans="1:47">
      <c r="A849" s="4" t="s">
        <v>48</v>
      </c>
      <c r="C849" s="21"/>
      <c r="D849" s="22" t="s">
        <v>49</v>
      </c>
      <c r="G849" s="23">
        <v>45090</v>
      </c>
      <c r="H849" s="24" t="s">
        <v>2565</v>
      </c>
      <c r="J849" s="28" t="s">
        <v>51</v>
      </c>
      <c r="L849" s="24" t="s">
        <v>2566</v>
      </c>
      <c r="M849" s="1" t="str">
        <f>"13282119730816553X"</f>
        <v>13282119730816553X</v>
      </c>
      <c r="N849" s="24" t="s">
        <v>2566</v>
      </c>
      <c r="O849" s="1" t="str">
        <f>"13282119730816553X"</f>
        <v>13282119730816553X</v>
      </c>
      <c r="P849" s="23" t="s">
        <v>2567</v>
      </c>
      <c r="Q849" s="23">
        <v>45091</v>
      </c>
      <c r="R849" s="32">
        <v>45457</v>
      </c>
      <c r="V849" s="33">
        <v>600</v>
      </c>
      <c r="W849" s="28">
        <v>64.29</v>
      </c>
      <c r="X849" s="34" t="s">
        <v>54</v>
      </c>
      <c r="Y849" s="33">
        <v>385.74</v>
      </c>
      <c r="AC849" s="28">
        <v>64.29</v>
      </c>
      <c r="AD849" s="34" t="s">
        <v>54</v>
      </c>
      <c r="AE849" s="33">
        <v>385.74</v>
      </c>
      <c r="AN849" s="7" t="s">
        <v>54</v>
      </c>
      <c r="AO849" s="7" t="s">
        <v>55</v>
      </c>
      <c r="AP849" s="7" t="s">
        <v>56</v>
      </c>
      <c r="AT849" s="47" t="s">
        <v>57</v>
      </c>
      <c r="AU849" s="47" t="s">
        <v>57</v>
      </c>
    </row>
    <row r="850" spans="1:47">
      <c r="A850" s="4" t="s">
        <v>48</v>
      </c>
      <c r="C850" s="21"/>
      <c r="D850" s="22" t="s">
        <v>49</v>
      </c>
      <c r="G850" s="23">
        <v>45085</v>
      </c>
      <c r="H850" s="24" t="s">
        <v>2568</v>
      </c>
      <c r="J850" s="28" t="s">
        <v>51</v>
      </c>
      <c r="L850" s="24" t="s">
        <v>2569</v>
      </c>
      <c r="M850" s="1" t="str">
        <f>"341204198605111240"</f>
        <v>341204198605111240</v>
      </c>
      <c r="N850" s="24" t="s">
        <v>2569</v>
      </c>
      <c r="O850" s="1" t="str">
        <f>"341204198605111240"</f>
        <v>341204198605111240</v>
      </c>
      <c r="P850" s="23" t="s">
        <v>2570</v>
      </c>
      <c r="Q850" s="23">
        <v>45086</v>
      </c>
      <c r="R850" s="32">
        <v>45452</v>
      </c>
      <c r="V850" s="33">
        <v>600</v>
      </c>
      <c r="W850" s="28">
        <v>64.29</v>
      </c>
      <c r="X850" s="34" t="s">
        <v>54</v>
      </c>
      <c r="Y850" s="33">
        <v>385.74</v>
      </c>
      <c r="AC850" s="28">
        <v>64.29</v>
      </c>
      <c r="AD850" s="34" t="s">
        <v>54</v>
      </c>
      <c r="AE850" s="33">
        <v>385.74</v>
      </c>
      <c r="AN850" s="7" t="s">
        <v>54</v>
      </c>
      <c r="AO850" s="7" t="s">
        <v>55</v>
      </c>
      <c r="AP850" s="7" t="s">
        <v>56</v>
      </c>
      <c r="AT850" s="47" t="s">
        <v>57</v>
      </c>
      <c r="AU850" s="47" t="s">
        <v>57</v>
      </c>
    </row>
    <row r="851" spans="1:47">
      <c r="A851" s="4" t="s">
        <v>48</v>
      </c>
      <c r="C851" s="21"/>
      <c r="D851" s="22" t="s">
        <v>49</v>
      </c>
      <c r="G851" s="23">
        <v>45087</v>
      </c>
      <c r="H851" s="24" t="s">
        <v>2571</v>
      </c>
      <c r="J851" s="28" t="s">
        <v>51</v>
      </c>
      <c r="L851" s="24" t="s">
        <v>2572</v>
      </c>
      <c r="M851" s="1" t="str">
        <f>"131082199006245523"</f>
        <v>131082199006245523</v>
      </c>
      <c r="N851" s="24" t="s">
        <v>2572</v>
      </c>
      <c r="O851" s="1" t="str">
        <f>"131082199006245523"</f>
        <v>131082199006245523</v>
      </c>
      <c r="P851" s="23" t="s">
        <v>2573</v>
      </c>
      <c r="Q851" s="23">
        <v>45088</v>
      </c>
      <c r="R851" s="32">
        <v>45454</v>
      </c>
      <c r="V851" s="33">
        <v>50</v>
      </c>
      <c r="W851" s="28">
        <v>64.29</v>
      </c>
      <c r="X851" s="34" t="s">
        <v>54</v>
      </c>
      <c r="Y851" s="33">
        <v>32.15</v>
      </c>
      <c r="AC851" s="28">
        <v>64.29</v>
      </c>
      <c r="AD851" s="34" t="s">
        <v>54</v>
      </c>
      <c r="AE851" s="33">
        <v>32.15</v>
      </c>
      <c r="AN851" s="7" t="s">
        <v>54</v>
      </c>
      <c r="AO851" s="7" t="s">
        <v>55</v>
      </c>
      <c r="AP851" s="7" t="s">
        <v>56</v>
      </c>
      <c r="AT851" s="47" t="s">
        <v>57</v>
      </c>
      <c r="AU851" s="47" t="s">
        <v>57</v>
      </c>
    </row>
    <row r="852" spans="1:47">
      <c r="A852" s="4" t="s">
        <v>48</v>
      </c>
      <c r="C852" s="21"/>
      <c r="D852" s="22" t="s">
        <v>49</v>
      </c>
      <c r="G852" s="23">
        <v>45096</v>
      </c>
      <c r="H852" s="24" t="s">
        <v>2574</v>
      </c>
      <c r="J852" s="28" t="s">
        <v>51</v>
      </c>
      <c r="L852" s="24" t="s">
        <v>2575</v>
      </c>
      <c r="M852" s="1" t="str">
        <f>"130283199509285056"</f>
        <v>130283199509285056</v>
      </c>
      <c r="N852" s="24" t="s">
        <v>2575</v>
      </c>
      <c r="O852" s="1" t="str">
        <f>"130283199509285056"</f>
        <v>130283199509285056</v>
      </c>
      <c r="P852" s="23" t="s">
        <v>2576</v>
      </c>
      <c r="Q852" s="23">
        <v>45219</v>
      </c>
      <c r="R852" s="32">
        <v>45585</v>
      </c>
      <c r="V852" s="33">
        <v>100</v>
      </c>
      <c r="W852" s="28">
        <v>64.29</v>
      </c>
      <c r="X852" s="34" t="s">
        <v>54</v>
      </c>
      <c r="Y852" s="33">
        <v>64.29</v>
      </c>
      <c r="AC852" s="28">
        <v>64.29</v>
      </c>
      <c r="AD852" s="34" t="s">
        <v>54</v>
      </c>
      <c r="AE852" s="33">
        <v>64.29</v>
      </c>
      <c r="AN852" s="7" t="s">
        <v>54</v>
      </c>
      <c r="AO852" s="7" t="s">
        <v>55</v>
      </c>
      <c r="AP852" s="7" t="s">
        <v>56</v>
      </c>
      <c r="AT852" s="47" t="s">
        <v>57</v>
      </c>
      <c r="AU852" s="47" t="s">
        <v>57</v>
      </c>
    </row>
    <row r="853" spans="1:47">
      <c r="A853" s="4" t="s">
        <v>48</v>
      </c>
      <c r="C853" s="21"/>
      <c r="D853" s="22" t="s">
        <v>49</v>
      </c>
      <c r="G853" s="23">
        <v>45097</v>
      </c>
      <c r="H853" s="24" t="s">
        <v>2577</v>
      </c>
      <c r="J853" s="28" t="s">
        <v>51</v>
      </c>
      <c r="L853" s="24" t="s">
        <v>2578</v>
      </c>
      <c r="M853" s="1" t="str">
        <f>"13102819920417203X"</f>
        <v>13102819920417203X</v>
      </c>
      <c r="N853" s="24" t="s">
        <v>2578</v>
      </c>
      <c r="O853" s="1" t="str">
        <f>"13102819920417203X"</f>
        <v>13102819920417203X</v>
      </c>
      <c r="P853" s="23" t="s">
        <v>2579</v>
      </c>
      <c r="Q853" s="23">
        <v>45308</v>
      </c>
      <c r="R853" s="32">
        <v>45674</v>
      </c>
      <c r="V853" s="33">
        <v>100</v>
      </c>
      <c r="W853" s="28">
        <v>64.29</v>
      </c>
      <c r="X853" s="34" t="s">
        <v>54</v>
      </c>
      <c r="Y853" s="33">
        <v>64.29</v>
      </c>
      <c r="AC853" s="28">
        <v>64.29</v>
      </c>
      <c r="AD853" s="34" t="s">
        <v>54</v>
      </c>
      <c r="AE853" s="33">
        <v>64.29</v>
      </c>
      <c r="AN853" s="7" t="s">
        <v>54</v>
      </c>
      <c r="AO853" s="7" t="s">
        <v>55</v>
      </c>
      <c r="AP853" s="7" t="s">
        <v>56</v>
      </c>
      <c r="AT853" s="47" t="s">
        <v>57</v>
      </c>
      <c r="AU853" s="47" t="s">
        <v>57</v>
      </c>
    </row>
    <row r="854" spans="1:47">
      <c r="A854" s="4" t="s">
        <v>48</v>
      </c>
      <c r="C854" s="21"/>
      <c r="D854" s="22" t="s">
        <v>49</v>
      </c>
      <c r="G854" s="23">
        <v>45096</v>
      </c>
      <c r="H854" s="24" t="s">
        <v>2580</v>
      </c>
      <c r="J854" s="28" t="s">
        <v>51</v>
      </c>
      <c r="L854" s="24" t="s">
        <v>2581</v>
      </c>
      <c r="M854" s="1" t="str">
        <f>"341203194905082213"</f>
        <v>341203194905082213</v>
      </c>
      <c r="N854" s="24" t="s">
        <v>2581</v>
      </c>
      <c r="O854" s="1" t="str">
        <f>"341203194905082213"</f>
        <v>341203194905082213</v>
      </c>
      <c r="P854" s="23" t="s">
        <v>2582</v>
      </c>
      <c r="Q854" s="23">
        <v>45097</v>
      </c>
      <c r="R854" s="32">
        <v>45463</v>
      </c>
      <c r="V854" s="33">
        <v>100</v>
      </c>
      <c r="W854" s="28">
        <v>64.29</v>
      </c>
      <c r="X854" s="34" t="s">
        <v>54</v>
      </c>
      <c r="Y854" s="33">
        <v>64.29</v>
      </c>
      <c r="AC854" s="28">
        <v>64.29</v>
      </c>
      <c r="AD854" s="34" t="s">
        <v>54</v>
      </c>
      <c r="AE854" s="33">
        <v>64.29</v>
      </c>
      <c r="AN854" s="7" t="s">
        <v>54</v>
      </c>
      <c r="AO854" s="7" t="s">
        <v>55</v>
      </c>
      <c r="AP854" s="7" t="s">
        <v>56</v>
      </c>
      <c r="AT854" s="47" t="s">
        <v>57</v>
      </c>
      <c r="AU854" s="47" t="s">
        <v>57</v>
      </c>
    </row>
    <row r="855" spans="1:47">
      <c r="A855" s="4" t="s">
        <v>48</v>
      </c>
      <c r="C855" s="21"/>
      <c r="D855" s="22" t="s">
        <v>49</v>
      </c>
      <c r="G855" s="23">
        <v>45097</v>
      </c>
      <c r="H855" s="24" t="s">
        <v>2583</v>
      </c>
      <c r="J855" s="28" t="s">
        <v>51</v>
      </c>
      <c r="L855" s="24" t="s">
        <v>2584</v>
      </c>
      <c r="M855" s="1" t="str">
        <f>"342130198002164464"</f>
        <v>342130198002164464</v>
      </c>
      <c r="N855" s="24" t="s">
        <v>2584</v>
      </c>
      <c r="O855" s="1" t="str">
        <f>"342130198002164464"</f>
        <v>342130198002164464</v>
      </c>
      <c r="P855" s="23" t="s">
        <v>2585</v>
      </c>
      <c r="Q855" s="23">
        <v>45251</v>
      </c>
      <c r="R855" s="32">
        <v>45617</v>
      </c>
      <c r="V855" s="33">
        <v>100</v>
      </c>
      <c r="W855" s="28">
        <v>64.29</v>
      </c>
      <c r="X855" s="34" t="s">
        <v>54</v>
      </c>
      <c r="Y855" s="33">
        <v>64.29</v>
      </c>
      <c r="AC855" s="28">
        <v>64.29</v>
      </c>
      <c r="AD855" s="34" t="s">
        <v>54</v>
      </c>
      <c r="AE855" s="33">
        <v>64.29</v>
      </c>
      <c r="AN855" s="7" t="s">
        <v>54</v>
      </c>
      <c r="AO855" s="7" t="s">
        <v>55</v>
      </c>
      <c r="AP855" s="7" t="s">
        <v>56</v>
      </c>
      <c r="AT855" s="47" t="s">
        <v>57</v>
      </c>
      <c r="AU855" s="47" t="s">
        <v>57</v>
      </c>
    </row>
    <row r="856" spans="1:47">
      <c r="A856" s="4" t="s">
        <v>48</v>
      </c>
      <c r="C856" s="21"/>
      <c r="D856" s="22" t="s">
        <v>49</v>
      </c>
      <c r="G856" s="23">
        <v>45097</v>
      </c>
      <c r="H856" s="24" t="s">
        <v>2586</v>
      </c>
      <c r="J856" s="28" t="s">
        <v>51</v>
      </c>
      <c r="L856" s="24" t="s">
        <v>2587</v>
      </c>
      <c r="M856" s="1" t="str">
        <f>"341203199002230927"</f>
        <v>341203199002230927</v>
      </c>
      <c r="N856" s="24" t="s">
        <v>2587</v>
      </c>
      <c r="O856" s="1" t="str">
        <f>"341203199002230927"</f>
        <v>341203199002230927</v>
      </c>
      <c r="P856" s="23" t="s">
        <v>2588</v>
      </c>
      <c r="Q856" s="23">
        <v>45098</v>
      </c>
      <c r="R856" s="32">
        <v>45464</v>
      </c>
      <c r="V856" s="33">
        <v>100</v>
      </c>
      <c r="W856" s="28">
        <v>64.29</v>
      </c>
      <c r="X856" s="34" t="s">
        <v>54</v>
      </c>
      <c r="Y856" s="33">
        <v>64.29</v>
      </c>
      <c r="AC856" s="28">
        <v>64.29</v>
      </c>
      <c r="AD856" s="34" t="s">
        <v>54</v>
      </c>
      <c r="AE856" s="33">
        <v>64.29</v>
      </c>
      <c r="AN856" s="7" t="s">
        <v>54</v>
      </c>
      <c r="AO856" s="7" t="s">
        <v>55</v>
      </c>
      <c r="AP856" s="7" t="s">
        <v>56</v>
      </c>
      <c r="AT856" s="47" t="s">
        <v>57</v>
      </c>
      <c r="AU856" s="47" t="s">
        <v>57</v>
      </c>
    </row>
    <row r="857" spans="1:47">
      <c r="A857" s="4" t="s">
        <v>48</v>
      </c>
      <c r="C857" s="21"/>
      <c r="D857" s="22" t="s">
        <v>49</v>
      </c>
      <c r="G857" s="23">
        <v>45097</v>
      </c>
      <c r="H857" s="24" t="s">
        <v>2589</v>
      </c>
      <c r="J857" s="28" t="s">
        <v>51</v>
      </c>
      <c r="L857" s="24" t="s">
        <v>2590</v>
      </c>
      <c r="M857" s="1" t="str">
        <f>"612423195909190016"</f>
        <v>612423195909190016</v>
      </c>
      <c r="N857" s="24" t="s">
        <v>2590</v>
      </c>
      <c r="O857" s="1" t="str">
        <f>"612423195909190016"</f>
        <v>612423195909190016</v>
      </c>
      <c r="P857" s="23" t="s">
        <v>2591</v>
      </c>
      <c r="Q857" s="23">
        <v>45184</v>
      </c>
      <c r="R857" s="32">
        <v>45550</v>
      </c>
      <c r="V857" s="33">
        <v>100</v>
      </c>
      <c r="W857" s="28">
        <v>64.29</v>
      </c>
      <c r="X857" s="34" t="s">
        <v>54</v>
      </c>
      <c r="Y857" s="33">
        <v>64.29</v>
      </c>
      <c r="AC857" s="28">
        <v>64.29</v>
      </c>
      <c r="AD857" s="34" t="s">
        <v>54</v>
      </c>
      <c r="AE857" s="33">
        <v>64.29</v>
      </c>
      <c r="AN857" s="7" t="s">
        <v>54</v>
      </c>
      <c r="AO857" s="7" t="s">
        <v>55</v>
      </c>
      <c r="AP857" s="7" t="s">
        <v>56</v>
      </c>
      <c r="AT857" s="47" t="s">
        <v>57</v>
      </c>
      <c r="AU857" s="47" t="s">
        <v>57</v>
      </c>
    </row>
    <row r="858" spans="1:47">
      <c r="A858" s="4" t="s">
        <v>48</v>
      </c>
      <c r="C858" s="21"/>
      <c r="D858" s="22" t="s">
        <v>49</v>
      </c>
      <c r="G858" s="23">
        <v>45097</v>
      </c>
      <c r="H858" s="24" t="s">
        <v>2592</v>
      </c>
      <c r="J858" s="28" t="s">
        <v>51</v>
      </c>
      <c r="L858" s="24" t="s">
        <v>2593</v>
      </c>
      <c r="M858" s="1" t="str">
        <f>"110105196502013611"</f>
        <v>110105196502013611</v>
      </c>
      <c r="N858" s="24" t="s">
        <v>2593</v>
      </c>
      <c r="O858" s="1" t="str">
        <f>"110105196502013611"</f>
        <v>110105196502013611</v>
      </c>
      <c r="P858" s="23" t="s">
        <v>2594</v>
      </c>
      <c r="Q858" s="23">
        <v>45098</v>
      </c>
      <c r="R858" s="32">
        <v>45464</v>
      </c>
      <c r="V858" s="33">
        <v>100</v>
      </c>
      <c r="W858" s="28">
        <v>64.29</v>
      </c>
      <c r="X858" s="34" t="s">
        <v>54</v>
      </c>
      <c r="Y858" s="33">
        <v>64.29</v>
      </c>
      <c r="AC858" s="28">
        <v>64.29</v>
      </c>
      <c r="AD858" s="34" t="s">
        <v>54</v>
      </c>
      <c r="AE858" s="33">
        <v>64.29</v>
      </c>
      <c r="AN858" s="7" t="s">
        <v>54</v>
      </c>
      <c r="AO858" s="7" t="s">
        <v>55</v>
      </c>
      <c r="AP858" s="7" t="s">
        <v>56</v>
      </c>
      <c r="AT858" s="47" t="s">
        <v>57</v>
      </c>
      <c r="AU858" s="47" t="s">
        <v>57</v>
      </c>
    </row>
    <row r="859" spans="1:47">
      <c r="A859" s="4" t="s">
        <v>48</v>
      </c>
      <c r="C859" s="21"/>
      <c r="D859" s="22" t="s">
        <v>49</v>
      </c>
      <c r="G859" s="23">
        <v>45089</v>
      </c>
      <c r="H859" s="24" t="s">
        <v>2595</v>
      </c>
      <c r="J859" s="28" t="s">
        <v>51</v>
      </c>
      <c r="L859" s="24" t="s">
        <v>883</v>
      </c>
      <c r="M859" s="1" t="str">
        <f>"130684199007273811"</f>
        <v>130684199007273811</v>
      </c>
      <c r="N859" s="24" t="s">
        <v>883</v>
      </c>
      <c r="O859" s="1" t="str">
        <f>"130684199007273811"</f>
        <v>130684199007273811</v>
      </c>
      <c r="P859" s="23" t="s">
        <v>2596</v>
      </c>
      <c r="Q859" s="23">
        <v>45090</v>
      </c>
      <c r="R859" s="32">
        <v>45456</v>
      </c>
      <c r="V859" s="33">
        <v>100</v>
      </c>
      <c r="W859" s="28">
        <v>64.29</v>
      </c>
      <c r="X859" s="34" t="s">
        <v>54</v>
      </c>
      <c r="Y859" s="33">
        <v>64.29</v>
      </c>
      <c r="AC859" s="28">
        <v>64.29</v>
      </c>
      <c r="AD859" s="34" t="s">
        <v>54</v>
      </c>
      <c r="AE859" s="33">
        <v>64.29</v>
      </c>
      <c r="AN859" s="7" t="s">
        <v>54</v>
      </c>
      <c r="AO859" s="7" t="s">
        <v>55</v>
      </c>
      <c r="AP859" s="7" t="s">
        <v>56</v>
      </c>
      <c r="AT859" s="47" t="s">
        <v>57</v>
      </c>
      <c r="AU859" s="47" t="s">
        <v>57</v>
      </c>
    </row>
    <row r="860" spans="1:47">
      <c r="A860" s="4" t="s">
        <v>48</v>
      </c>
      <c r="C860" s="21"/>
      <c r="D860" s="22" t="s">
        <v>49</v>
      </c>
      <c r="G860" s="23">
        <v>45090</v>
      </c>
      <c r="H860" s="24" t="s">
        <v>2597</v>
      </c>
      <c r="J860" s="28" t="s">
        <v>51</v>
      </c>
      <c r="L860" s="24" t="s">
        <v>2598</v>
      </c>
      <c r="M860" s="1" t="str">
        <f>"232101199606093211"</f>
        <v>232101199606093211</v>
      </c>
      <c r="N860" s="24" t="s">
        <v>2598</v>
      </c>
      <c r="O860" s="1" t="str">
        <f>"232101199606093211"</f>
        <v>232101199606093211</v>
      </c>
      <c r="P860" s="23" t="s">
        <v>2599</v>
      </c>
      <c r="Q860" s="23">
        <v>45091</v>
      </c>
      <c r="R860" s="32">
        <v>45457</v>
      </c>
      <c r="V860" s="33">
        <v>100</v>
      </c>
      <c r="W860" s="28">
        <v>64.29</v>
      </c>
      <c r="X860" s="34" t="s">
        <v>54</v>
      </c>
      <c r="Y860" s="33">
        <v>64.29</v>
      </c>
      <c r="AC860" s="28">
        <v>64.29</v>
      </c>
      <c r="AD860" s="34" t="s">
        <v>54</v>
      </c>
      <c r="AE860" s="33">
        <v>64.29</v>
      </c>
      <c r="AN860" s="7" t="s">
        <v>54</v>
      </c>
      <c r="AO860" s="7" t="s">
        <v>55</v>
      </c>
      <c r="AP860" s="7" t="s">
        <v>56</v>
      </c>
      <c r="AT860" s="47" t="s">
        <v>57</v>
      </c>
      <c r="AU860" s="47" t="s">
        <v>57</v>
      </c>
    </row>
    <row r="861" spans="1:47">
      <c r="A861" s="4" t="s">
        <v>48</v>
      </c>
      <c r="C861" s="21"/>
      <c r="D861" s="22" t="s">
        <v>49</v>
      </c>
      <c r="G861" s="23">
        <v>45089</v>
      </c>
      <c r="H861" s="24" t="s">
        <v>2600</v>
      </c>
      <c r="J861" s="28" t="s">
        <v>51</v>
      </c>
      <c r="L861" s="24" t="s">
        <v>2601</v>
      </c>
      <c r="M861" s="1" t="str">
        <f>"130282198702021422"</f>
        <v>130282198702021422</v>
      </c>
      <c r="N861" s="24" t="s">
        <v>2601</v>
      </c>
      <c r="O861" s="1" t="str">
        <f>"130282198702021422"</f>
        <v>130282198702021422</v>
      </c>
      <c r="P861" s="23" t="s">
        <v>2602</v>
      </c>
      <c r="Q861" s="23">
        <v>45090</v>
      </c>
      <c r="R861" s="32">
        <v>45456</v>
      </c>
      <c r="V861" s="33">
        <v>100</v>
      </c>
      <c r="W861" s="28">
        <v>64.29</v>
      </c>
      <c r="X861" s="34" t="s">
        <v>54</v>
      </c>
      <c r="Y861" s="33">
        <v>64.29</v>
      </c>
      <c r="AC861" s="28">
        <v>64.29</v>
      </c>
      <c r="AD861" s="34" t="s">
        <v>54</v>
      </c>
      <c r="AE861" s="33">
        <v>64.29</v>
      </c>
      <c r="AN861" s="7" t="s">
        <v>54</v>
      </c>
      <c r="AO861" s="7" t="s">
        <v>55</v>
      </c>
      <c r="AP861" s="7" t="s">
        <v>56</v>
      </c>
      <c r="AT861" s="47" t="s">
        <v>57</v>
      </c>
      <c r="AU861" s="47" t="s">
        <v>57</v>
      </c>
    </row>
    <row r="862" spans="1:47">
      <c r="A862" s="4" t="s">
        <v>48</v>
      </c>
      <c r="C862" s="21"/>
      <c r="D862" s="22" t="s">
        <v>49</v>
      </c>
      <c r="G862" s="23">
        <v>45090</v>
      </c>
      <c r="H862" s="24" t="s">
        <v>2603</v>
      </c>
      <c r="J862" s="28" t="s">
        <v>51</v>
      </c>
      <c r="L862" s="24" t="s">
        <v>2604</v>
      </c>
      <c r="M862" s="1" t="str">
        <f>"130821197105113914"</f>
        <v>130821197105113914</v>
      </c>
      <c r="N862" s="24" t="s">
        <v>2604</v>
      </c>
      <c r="O862" s="1" t="str">
        <f>"130821197105113914"</f>
        <v>130821197105113914</v>
      </c>
      <c r="P862" s="23" t="s">
        <v>2605</v>
      </c>
      <c r="Q862" s="23">
        <v>45091</v>
      </c>
      <c r="R862" s="32">
        <v>45457</v>
      </c>
      <c r="V862" s="33">
        <v>100</v>
      </c>
      <c r="W862" s="28">
        <v>64.29</v>
      </c>
      <c r="X862" s="34" t="s">
        <v>54</v>
      </c>
      <c r="Y862" s="33">
        <v>64.29</v>
      </c>
      <c r="AC862" s="28">
        <v>64.29</v>
      </c>
      <c r="AD862" s="34" t="s">
        <v>54</v>
      </c>
      <c r="AE862" s="33">
        <v>64.29</v>
      </c>
      <c r="AN862" s="7" t="s">
        <v>54</v>
      </c>
      <c r="AO862" s="7" t="s">
        <v>55</v>
      </c>
      <c r="AP862" s="7" t="s">
        <v>56</v>
      </c>
      <c r="AT862" s="47" t="s">
        <v>57</v>
      </c>
      <c r="AU862" s="47" t="s">
        <v>57</v>
      </c>
    </row>
    <row r="863" spans="1:47">
      <c r="A863" s="4" t="s">
        <v>48</v>
      </c>
      <c r="C863" s="21"/>
      <c r="D863" s="22" t="s">
        <v>49</v>
      </c>
      <c r="G863" s="23">
        <v>45089</v>
      </c>
      <c r="H863" s="24" t="s">
        <v>2606</v>
      </c>
      <c r="J863" s="28" t="s">
        <v>51</v>
      </c>
      <c r="L863" s="24" t="s">
        <v>2607</v>
      </c>
      <c r="M863" s="1" t="str">
        <f>"131028198308170018"</f>
        <v>131028198308170018</v>
      </c>
      <c r="N863" s="24" t="s">
        <v>2607</v>
      </c>
      <c r="O863" s="1" t="str">
        <f>"131028198308170018"</f>
        <v>131028198308170018</v>
      </c>
      <c r="P863" s="23" t="s">
        <v>2608</v>
      </c>
      <c r="Q863" s="23">
        <v>45212</v>
      </c>
      <c r="R863" s="32">
        <v>45578</v>
      </c>
      <c r="V863" s="33">
        <v>100</v>
      </c>
      <c r="W863" s="28">
        <v>64.29</v>
      </c>
      <c r="X863" s="34" t="s">
        <v>54</v>
      </c>
      <c r="Y863" s="33">
        <v>64.29</v>
      </c>
      <c r="AC863" s="28">
        <v>64.29</v>
      </c>
      <c r="AD863" s="34" t="s">
        <v>54</v>
      </c>
      <c r="AE863" s="33">
        <v>64.29</v>
      </c>
      <c r="AN863" s="7" t="s">
        <v>54</v>
      </c>
      <c r="AO863" s="7" t="s">
        <v>55</v>
      </c>
      <c r="AP863" s="7" t="s">
        <v>56</v>
      </c>
      <c r="AT863" s="47" t="s">
        <v>57</v>
      </c>
      <c r="AU863" s="47" t="s">
        <v>57</v>
      </c>
    </row>
    <row r="864" spans="1:47">
      <c r="A864" s="4" t="s">
        <v>48</v>
      </c>
      <c r="C864" s="21"/>
      <c r="D864" s="22" t="s">
        <v>49</v>
      </c>
      <c r="G864" s="23">
        <v>45075</v>
      </c>
      <c r="H864" s="24" t="s">
        <v>2609</v>
      </c>
      <c r="J864" s="28" t="s">
        <v>51</v>
      </c>
      <c r="L864" s="24" t="s">
        <v>2276</v>
      </c>
      <c r="M864" s="1" t="str">
        <f>"341202198605102528"</f>
        <v>341202198605102528</v>
      </c>
      <c r="N864" s="24" t="s">
        <v>2276</v>
      </c>
      <c r="O864" s="1" t="str">
        <f>"341202198605102528"</f>
        <v>341202198605102528</v>
      </c>
      <c r="P864" s="23" t="s">
        <v>2610</v>
      </c>
      <c r="Q864" s="23">
        <v>45076</v>
      </c>
      <c r="R864" s="32">
        <v>45442</v>
      </c>
      <c r="V864" s="33">
        <v>100</v>
      </c>
      <c r="W864" s="28">
        <v>64.29</v>
      </c>
      <c r="X864" s="34" t="s">
        <v>54</v>
      </c>
      <c r="Y864" s="33">
        <v>64.29</v>
      </c>
      <c r="AC864" s="28">
        <v>64.29</v>
      </c>
      <c r="AD864" s="34" t="s">
        <v>54</v>
      </c>
      <c r="AE864" s="33">
        <v>64.29</v>
      </c>
      <c r="AN864" s="7" t="s">
        <v>54</v>
      </c>
      <c r="AO864" s="7" t="s">
        <v>55</v>
      </c>
      <c r="AP864" s="7" t="s">
        <v>56</v>
      </c>
      <c r="AT864" s="47" t="s">
        <v>57</v>
      </c>
      <c r="AU864" s="47" t="s">
        <v>57</v>
      </c>
    </row>
    <row r="865" spans="1:47">
      <c r="A865" s="4" t="s">
        <v>48</v>
      </c>
      <c r="C865" s="21"/>
      <c r="D865" s="22" t="s">
        <v>49</v>
      </c>
      <c r="G865" s="23">
        <v>45075</v>
      </c>
      <c r="H865" s="24" t="s">
        <v>2611</v>
      </c>
      <c r="J865" s="28" t="s">
        <v>51</v>
      </c>
      <c r="L865" s="24" t="s">
        <v>2612</v>
      </c>
      <c r="M865" s="1" t="str">
        <f>"341202199706112113"</f>
        <v>341202199706112113</v>
      </c>
      <c r="N865" s="24" t="s">
        <v>2612</v>
      </c>
      <c r="O865" s="1" t="str">
        <f>"341202199706112113"</f>
        <v>341202199706112113</v>
      </c>
      <c r="P865" s="23" t="s">
        <v>2613</v>
      </c>
      <c r="Q865" s="23">
        <v>45139</v>
      </c>
      <c r="R865" s="32">
        <v>45505</v>
      </c>
      <c r="V865" s="33">
        <v>100</v>
      </c>
      <c r="W865" s="28">
        <v>64.29</v>
      </c>
      <c r="X865" s="34" t="s">
        <v>54</v>
      </c>
      <c r="Y865" s="33">
        <v>64.29</v>
      </c>
      <c r="AC865" s="28">
        <v>64.29</v>
      </c>
      <c r="AD865" s="34" t="s">
        <v>54</v>
      </c>
      <c r="AE865" s="33">
        <v>64.29</v>
      </c>
      <c r="AN865" s="7" t="s">
        <v>54</v>
      </c>
      <c r="AO865" s="7" t="s">
        <v>55</v>
      </c>
      <c r="AP865" s="7" t="s">
        <v>56</v>
      </c>
      <c r="AT865" s="47" t="s">
        <v>57</v>
      </c>
      <c r="AU865" s="47" t="s">
        <v>57</v>
      </c>
    </row>
    <row r="866" spans="1:47">
      <c r="A866" s="4" t="s">
        <v>48</v>
      </c>
      <c r="C866" s="21"/>
      <c r="D866" s="22" t="s">
        <v>49</v>
      </c>
      <c r="G866" s="23">
        <v>45085</v>
      </c>
      <c r="H866" s="24" t="s">
        <v>2614</v>
      </c>
      <c r="J866" s="28" t="s">
        <v>51</v>
      </c>
      <c r="L866" s="24" t="s">
        <v>2615</v>
      </c>
      <c r="M866" s="1" t="str">
        <f>"230622199203252051"</f>
        <v>230622199203252051</v>
      </c>
      <c r="N866" s="24" t="s">
        <v>2615</v>
      </c>
      <c r="O866" s="1" t="str">
        <f>"230622199203252051"</f>
        <v>230622199203252051</v>
      </c>
      <c r="P866" s="23" t="s">
        <v>2616</v>
      </c>
      <c r="Q866" s="23">
        <v>45086</v>
      </c>
      <c r="R866" s="32">
        <v>45452</v>
      </c>
      <c r="V866" s="33">
        <v>600</v>
      </c>
      <c r="W866" s="28">
        <v>64.29</v>
      </c>
      <c r="X866" s="34" t="s">
        <v>54</v>
      </c>
      <c r="Y866" s="33">
        <v>385.74</v>
      </c>
      <c r="AC866" s="28">
        <v>64.29</v>
      </c>
      <c r="AD866" s="34" t="s">
        <v>54</v>
      </c>
      <c r="AE866" s="33">
        <v>385.74</v>
      </c>
      <c r="AN866" s="7" t="s">
        <v>54</v>
      </c>
      <c r="AO866" s="7" t="s">
        <v>55</v>
      </c>
      <c r="AP866" s="7" t="s">
        <v>56</v>
      </c>
      <c r="AT866" s="47" t="s">
        <v>57</v>
      </c>
      <c r="AU866" s="47" t="s">
        <v>57</v>
      </c>
    </row>
    <row r="867" spans="1:47">
      <c r="A867" s="4" t="s">
        <v>48</v>
      </c>
      <c r="C867" s="21"/>
      <c r="D867" s="22" t="s">
        <v>49</v>
      </c>
      <c r="G867" s="23">
        <v>45078</v>
      </c>
      <c r="H867" s="24" t="s">
        <v>2617</v>
      </c>
      <c r="J867" s="28" t="s">
        <v>51</v>
      </c>
      <c r="L867" s="24" t="s">
        <v>2618</v>
      </c>
      <c r="M867" s="1" t="str">
        <f>"341202198403160228"</f>
        <v>341202198403160228</v>
      </c>
      <c r="N867" s="24" t="s">
        <v>2618</v>
      </c>
      <c r="O867" s="1" t="str">
        <f>"341202198403160228"</f>
        <v>341202198403160228</v>
      </c>
      <c r="P867" s="23" t="s">
        <v>2619</v>
      </c>
      <c r="Q867" s="23">
        <v>45079</v>
      </c>
      <c r="R867" s="32">
        <v>45445</v>
      </c>
      <c r="V867" s="33">
        <v>600</v>
      </c>
      <c r="W867" s="28">
        <v>64.29</v>
      </c>
      <c r="X867" s="34" t="s">
        <v>54</v>
      </c>
      <c r="Y867" s="33">
        <v>385.74</v>
      </c>
      <c r="AC867" s="28">
        <v>64.29</v>
      </c>
      <c r="AD867" s="34" t="s">
        <v>54</v>
      </c>
      <c r="AE867" s="33">
        <v>385.74</v>
      </c>
      <c r="AN867" s="7" t="s">
        <v>54</v>
      </c>
      <c r="AO867" s="7" t="s">
        <v>55</v>
      </c>
      <c r="AP867" s="7" t="s">
        <v>56</v>
      </c>
      <c r="AT867" s="47" t="s">
        <v>57</v>
      </c>
      <c r="AU867" s="47" t="s">
        <v>57</v>
      </c>
    </row>
    <row r="868" spans="1:47">
      <c r="A868" s="4" t="s">
        <v>48</v>
      </c>
      <c r="C868" s="21"/>
      <c r="D868" s="22" t="s">
        <v>49</v>
      </c>
      <c r="G868" s="23">
        <v>45076</v>
      </c>
      <c r="H868" s="24" t="s">
        <v>2620</v>
      </c>
      <c r="J868" s="28" t="s">
        <v>51</v>
      </c>
      <c r="L868" s="24" t="s">
        <v>2621</v>
      </c>
      <c r="M868" s="1" t="str">
        <f>"239005195507263412"</f>
        <v>239005195507263412</v>
      </c>
      <c r="N868" s="24" t="s">
        <v>2621</v>
      </c>
      <c r="O868" s="1" t="str">
        <f>"239005195507263412"</f>
        <v>239005195507263412</v>
      </c>
      <c r="P868" s="23" t="s">
        <v>2622</v>
      </c>
      <c r="Q868" s="23">
        <v>45085</v>
      </c>
      <c r="R868" s="32">
        <v>45451</v>
      </c>
      <c r="V868" s="33">
        <v>600</v>
      </c>
      <c r="W868" s="28">
        <v>64.29</v>
      </c>
      <c r="X868" s="34" t="s">
        <v>54</v>
      </c>
      <c r="Y868" s="33">
        <v>385.74</v>
      </c>
      <c r="AC868" s="28">
        <v>64.29</v>
      </c>
      <c r="AD868" s="34" t="s">
        <v>54</v>
      </c>
      <c r="AE868" s="33">
        <v>385.74</v>
      </c>
      <c r="AN868" s="7" t="s">
        <v>54</v>
      </c>
      <c r="AO868" s="7" t="s">
        <v>55</v>
      </c>
      <c r="AP868" s="7" t="s">
        <v>56</v>
      </c>
      <c r="AT868" s="47" t="s">
        <v>57</v>
      </c>
      <c r="AU868" s="47" t="s">
        <v>57</v>
      </c>
    </row>
    <row r="869" spans="1:47">
      <c r="A869" s="4" t="s">
        <v>48</v>
      </c>
      <c r="C869" s="21"/>
      <c r="D869" s="22" t="s">
        <v>49</v>
      </c>
      <c r="G869" s="23">
        <v>45072</v>
      </c>
      <c r="H869" s="24" t="s">
        <v>2623</v>
      </c>
      <c r="J869" s="28" t="s">
        <v>51</v>
      </c>
      <c r="L869" s="24" t="s">
        <v>2624</v>
      </c>
      <c r="M869" s="1" t="str">
        <f>"341203198902151592"</f>
        <v>341203198902151592</v>
      </c>
      <c r="N869" s="24" t="s">
        <v>2624</v>
      </c>
      <c r="O869" s="1" t="str">
        <f>"341203198902151592"</f>
        <v>341203198902151592</v>
      </c>
      <c r="P869" s="23" t="s">
        <v>2625</v>
      </c>
      <c r="Q869" s="23">
        <v>45144</v>
      </c>
      <c r="R869" s="32">
        <v>45510</v>
      </c>
      <c r="V869" s="33">
        <v>600</v>
      </c>
      <c r="W869" s="28">
        <v>64.29</v>
      </c>
      <c r="X869" s="34" t="s">
        <v>54</v>
      </c>
      <c r="Y869" s="33">
        <v>385.74</v>
      </c>
      <c r="AC869" s="28">
        <v>64.29</v>
      </c>
      <c r="AD869" s="34" t="s">
        <v>54</v>
      </c>
      <c r="AE869" s="33">
        <v>385.74</v>
      </c>
      <c r="AN869" s="7" t="s">
        <v>54</v>
      </c>
      <c r="AO869" s="7" t="s">
        <v>55</v>
      </c>
      <c r="AP869" s="7" t="s">
        <v>56</v>
      </c>
      <c r="AT869" s="47" t="s">
        <v>57</v>
      </c>
      <c r="AU869" s="47" t="s">
        <v>57</v>
      </c>
    </row>
    <row r="870" spans="1:47">
      <c r="A870" s="4" t="s">
        <v>48</v>
      </c>
      <c r="C870" s="21"/>
      <c r="D870" s="22" t="s">
        <v>49</v>
      </c>
      <c r="G870" s="23">
        <v>45093</v>
      </c>
      <c r="H870" s="24" t="s">
        <v>2626</v>
      </c>
      <c r="J870" s="28" t="s">
        <v>51</v>
      </c>
      <c r="L870" s="24" t="s">
        <v>2627</v>
      </c>
      <c r="M870" s="1" t="str">
        <f>"341203198902151592"</f>
        <v>341203198902151592</v>
      </c>
      <c r="N870" s="24" t="s">
        <v>2627</v>
      </c>
      <c r="O870" s="1" t="str">
        <f>"341203198902151592"</f>
        <v>341203198902151592</v>
      </c>
      <c r="P870" s="23" t="s">
        <v>2625</v>
      </c>
      <c r="Q870" s="23">
        <v>45094</v>
      </c>
      <c r="R870" s="32">
        <v>45460</v>
      </c>
      <c r="V870" s="33">
        <v>1000</v>
      </c>
      <c r="W870" s="28">
        <v>64.29</v>
      </c>
      <c r="X870" s="34" t="s">
        <v>54</v>
      </c>
      <c r="Y870" s="33">
        <v>642.9</v>
      </c>
      <c r="AC870" s="28">
        <v>64.29</v>
      </c>
      <c r="AD870" s="34" t="s">
        <v>54</v>
      </c>
      <c r="AE870" s="33">
        <v>642.9</v>
      </c>
      <c r="AN870" s="7" t="s">
        <v>54</v>
      </c>
      <c r="AO870" s="7" t="s">
        <v>55</v>
      </c>
      <c r="AP870" s="7" t="s">
        <v>56</v>
      </c>
      <c r="AT870" s="47" t="s">
        <v>57</v>
      </c>
      <c r="AU870" s="47" t="s">
        <v>57</v>
      </c>
    </row>
    <row r="871" spans="1:47">
      <c r="A871" s="4" t="s">
        <v>48</v>
      </c>
      <c r="C871" s="21"/>
      <c r="D871" s="22" t="s">
        <v>49</v>
      </c>
      <c r="G871" s="23">
        <v>45088</v>
      </c>
      <c r="H871" s="24" t="s">
        <v>2628</v>
      </c>
      <c r="J871" s="28" t="s">
        <v>51</v>
      </c>
      <c r="L871" s="24" t="s">
        <v>2629</v>
      </c>
      <c r="M871" s="1" t="str">
        <f>"110105197605211148"</f>
        <v>110105197605211148</v>
      </c>
      <c r="N871" s="24" t="s">
        <v>2629</v>
      </c>
      <c r="O871" s="1" t="str">
        <f>"110105197605211148"</f>
        <v>110105197605211148</v>
      </c>
      <c r="P871" s="23" t="s">
        <v>2630</v>
      </c>
      <c r="Q871" s="23">
        <v>45089</v>
      </c>
      <c r="R871" s="32">
        <v>45455</v>
      </c>
      <c r="V871" s="33">
        <v>50</v>
      </c>
      <c r="W871" s="28">
        <v>64.29</v>
      </c>
      <c r="X871" s="34" t="s">
        <v>54</v>
      </c>
      <c r="Y871" s="33">
        <v>32.15</v>
      </c>
      <c r="AC871" s="28">
        <v>64.29</v>
      </c>
      <c r="AD871" s="34" t="s">
        <v>54</v>
      </c>
      <c r="AE871" s="33">
        <v>32.15</v>
      </c>
      <c r="AN871" s="7" t="s">
        <v>54</v>
      </c>
      <c r="AO871" s="7" t="s">
        <v>55</v>
      </c>
      <c r="AP871" s="7" t="s">
        <v>56</v>
      </c>
      <c r="AT871" s="47" t="s">
        <v>57</v>
      </c>
      <c r="AU871" s="47" t="s">
        <v>57</v>
      </c>
    </row>
    <row r="872" spans="1:47">
      <c r="A872" s="4" t="s">
        <v>48</v>
      </c>
      <c r="C872" s="21"/>
      <c r="D872" s="22" t="s">
        <v>49</v>
      </c>
      <c r="G872" s="23">
        <v>45087</v>
      </c>
      <c r="H872" s="24" t="s">
        <v>2631</v>
      </c>
      <c r="J872" s="28" t="s">
        <v>51</v>
      </c>
      <c r="L872" s="24" t="s">
        <v>2632</v>
      </c>
      <c r="M872" s="1" t="str">
        <f>"341202195104152320"</f>
        <v>341202195104152320</v>
      </c>
      <c r="N872" s="24" t="s">
        <v>2632</v>
      </c>
      <c r="O872" s="1" t="str">
        <f>"341202195104152320"</f>
        <v>341202195104152320</v>
      </c>
      <c r="P872" s="23" t="s">
        <v>2633</v>
      </c>
      <c r="Q872" s="23">
        <v>45088</v>
      </c>
      <c r="R872" s="32">
        <v>45454</v>
      </c>
      <c r="V872" s="33">
        <v>50</v>
      </c>
      <c r="W872" s="28">
        <v>64.29</v>
      </c>
      <c r="X872" s="34" t="s">
        <v>54</v>
      </c>
      <c r="Y872" s="33">
        <v>32.15</v>
      </c>
      <c r="AC872" s="28">
        <v>64.29</v>
      </c>
      <c r="AD872" s="34" t="s">
        <v>54</v>
      </c>
      <c r="AE872" s="33">
        <v>32.15</v>
      </c>
      <c r="AN872" s="7" t="s">
        <v>54</v>
      </c>
      <c r="AO872" s="7" t="s">
        <v>55</v>
      </c>
      <c r="AP872" s="7" t="s">
        <v>56</v>
      </c>
      <c r="AT872" s="47" t="s">
        <v>57</v>
      </c>
      <c r="AU872" s="47" t="s">
        <v>57</v>
      </c>
    </row>
    <row r="873" spans="1:47">
      <c r="A873" s="4" t="s">
        <v>48</v>
      </c>
      <c r="C873" s="21"/>
      <c r="D873" s="22" t="s">
        <v>49</v>
      </c>
      <c r="G873" s="23">
        <v>45087</v>
      </c>
      <c r="H873" s="24" t="s">
        <v>2634</v>
      </c>
      <c r="J873" s="28" t="s">
        <v>51</v>
      </c>
      <c r="L873" s="24" t="s">
        <v>2635</v>
      </c>
      <c r="M873" s="1" t="str">
        <f>"342101197105290221"</f>
        <v>342101197105290221</v>
      </c>
      <c r="N873" s="24" t="s">
        <v>2635</v>
      </c>
      <c r="O873" s="1" t="str">
        <f>"342101197105290221"</f>
        <v>342101197105290221</v>
      </c>
      <c r="P873" s="23" t="s">
        <v>2636</v>
      </c>
      <c r="Q873" s="23">
        <v>45088</v>
      </c>
      <c r="R873" s="32">
        <v>45454</v>
      </c>
      <c r="V873" s="33">
        <v>50</v>
      </c>
      <c r="W873" s="28">
        <v>64.29</v>
      </c>
      <c r="X873" s="34" t="s">
        <v>54</v>
      </c>
      <c r="Y873" s="33">
        <v>32.15</v>
      </c>
      <c r="AC873" s="28">
        <v>64.29</v>
      </c>
      <c r="AD873" s="34" t="s">
        <v>54</v>
      </c>
      <c r="AE873" s="33">
        <v>32.15</v>
      </c>
      <c r="AN873" s="7" t="s">
        <v>54</v>
      </c>
      <c r="AO873" s="7" t="s">
        <v>55</v>
      </c>
      <c r="AP873" s="7" t="s">
        <v>56</v>
      </c>
      <c r="AT873" s="47" t="s">
        <v>57</v>
      </c>
      <c r="AU873" s="47" t="s">
        <v>57</v>
      </c>
    </row>
    <row r="874" spans="1:47">
      <c r="A874" s="4" t="s">
        <v>48</v>
      </c>
      <c r="C874" s="21"/>
      <c r="D874" s="22" t="s">
        <v>49</v>
      </c>
      <c r="G874" s="23">
        <v>45097</v>
      </c>
      <c r="H874" s="24" t="s">
        <v>2637</v>
      </c>
      <c r="J874" s="28" t="s">
        <v>51</v>
      </c>
      <c r="L874" s="24" t="s">
        <v>2638</v>
      </c>
      <c r="M874" s="1" t="str">
        <f>"342130198109055313"</f>
        <v>342130198109055313</v>
      </c>
      <c r="N874" s="24" t="s">
        <v>2638</v>
      </c>
      <c r="O874" s="1" t="str">
        <f>"342130198109055313"</f>
        <v>342130198109055313</v>
      </c>
      <c r="P874" s="23" t="s">
        <v>2639</v>
      </c>
      <c r="Q874" s="23">
        <v>45098</v>
      </c>
      <c r="R874" s="32">
        <v>45464</v>
      </c>
      <c r="V874" s="33">
        <v>100</v>
      </c>
      <c r="W874" s="28">
        <v>64.29</v>
      </c>
      <c r="X874" s="34" t="s">
        <v>54</v>
      </c>
      <c r="Y874" s="33">
        <v>64.29</v>
      </c>
      <c r="AC874" s="28">
        <v>64.29</v>
      </c>
      <c r="AD874" s="34" t="s">
        <v>54</v>
      </c>
      <c r="AE874" s="33">
        <v>64.29</v>
      </c>
      <c r="AN874" s="7" t="s">
        <v>54</v>
      </c>
      <c r="AO874" s="7" t="s">
        <v>55</v>
      </c>
      <c r="AP874" s="7" t="s">
        <v>56</v>
      </c>
      <c r="AT874" s="47" t="s">
        <v>57</v>
      </c>
      <c r="AU874" s="47" t="s">
        <v>57</v>
      </c>
    </row>
    <row r="875" spans="1:47">
      <c r="A875" s="4" t="s">
        <v>48</v>
      </c>
      <c r="C875" s="21"/>
      <c r="D875" s="22" t="s">
        <v>49</v>
      </c>
      <c r="G875" s="23">
        <v>45098</v>
      </c>
      <c r="H875" s="24" t="s">
        <v>2640</v>
      </c>
      <c r="J875" s="28" t="s">
        <v>51</v>
      </c>
      <c r="L875" s="24" t="s">
        <v>2641</v>
      </c>
      <c r="M875" s="1" t="str">
        <f>"220581198809130209"</f>
        <v>220581198809130209</v>
      </c>
      <c r="N875" s="24" t="s">
        <v>2641</v>
      </c>
      <c r="O875" s="1" t="str">
        <f>"220581198809130209"</f>
        <v>220581198809130209</v>
      </c>
      <c r="P875" s="23" t="s">
        <v>2642</v>
      </c>
      <c r="Q875" s="23">
        <v>45099</v>
      </c>
      <c r="R875" s="32">
        <v>45465</v>
      </c>
      <c r="V875" s="33">
        <v>100</v>
      </c>
      <c r="W875" s="28">
        <v>64.29</v>
      </c>
      <c r="X875" s="34" t="s">
        <v>54</v>
      </c>
      <c r="Y875" s="33">
        <v>64.29</v>
      </c>
      <c r="AC875" s="28">
        <v>64.29</v>
      </c>
      <c r="AD875" s="34" t="s">
        <v>54</v>
      </c>
      <c r="AE875" s="33">
        <v>64.29</v>
      </c>
      <c r="AN875" s="7" t="s">
        <v>54</v>
      </c>
      <c r="AO875" s="7" t="s">
        <v>55</v>
      </c>
      <c r="AP875" s="7" t="s">
        <v>56</v>
      </c>
      <c r="AT875" s="47" t="s">
        <v>57</v>
      </c>
      <c r="AU875" s="47" t="s">
        <v>57</v>
      </c>
    </row>
    <row r="876" spans="1:47">
      <c r="A876" s="4" t="s">
        <v>48</v>
      </c>
      <c r="C876" s="21"/>
      <c r="D876" s="22" t="s">
        <v>49</v>
      </c>
      <c r="G876" s="23">
        <v>45098</v>
      </c>
      <c r="H876" s="24" t="s">
        <v>2643</v>
      </c>
      <c r="J876" s="28" t="s">
        <v>51</v>
      </c>
      <c r="L876" s="24" t="s">
        <v>2644</v>
      </c>
      <c r="M876" s="1" t="str">
        <f>"342101197204111022"</f>
        <v>342101197204111022</v>
      </c>
      <c r="N876" s="24" t="s">
        <v>2644</v>
      </c>
      <c r="O876" s="1" t="str">
        <f>"342101197204111022"</f>
        <v>342101197204111022</v>
      </c>
      <c r="P876" s="23" t="s">
        <v>2645</v>
      </c>
      <c r="Q876" s="23">
        <v>45129</v>
      </c>
      <c r="R876" s="32">
        <v>45495</v>
      </c>
      <c r="V876" s="33">
        <v>100</v>
      </c>
      <c r="W876" s="28">
        <v>64.29</v>
      </c>
      <c r="X876" s="34" t="s">
        <v>54</v>
      </c>
      <c r="Y876" s="33">
        <v>64.29</v>
      </c>
      <c r="AC876" s="28">
        <v>64.29</v>
      </c>
      <c r="AD876" s="34" t="s">
        <v>54</v>
      </c>
      <c r="AE876" s="33">
        <v>64.29</v>
      </c>
      <c r="AN876" s="7" t="s">
        <v>54</v>
      </c>
      <c r="AO876" s="7" t="s">
        <v>55</v>
      </c>
      <c r="AP876" s="7" t="s">
        <v>56</v>
      </c>
      <c r="AT876" s="47" t="s">
        <v>57</v>
      </c>
      <c r="AU876" s="47" t="s">
        <v>57</v>
      </c>
    </row>
    <row r="877" spans="1:47">
      <c r="A877" s="4" t="s">
        <v>48</v>
      </c>
      <c r="C877" s="21"/>
      <c r="D877" s="22" t="s">
        <v>49</v>
      </c>
      <c r="G877" s="23">
        <v>45096</v>
      </c>
      <c r="H877" s="24" t="s">
        <v>2646</v>
      </c>
      <c r="J877" s="28" t="s">
        <v>51</v>
      </c>
      <c r="L877" s="24" t="s">
        <v>2647</v>
      </c>
      <c r="M877" s="1" t="str">
        <f>"342101196808060823"</f>
        <v>342101196808060823</v>
      </c>
      <c r="N877" s="24" t="s">
        <v>2647</v>
      </c>
      <c r="O877" s="1" t="str">
        <f>"342101196808060823"</f>
        <v>342101196808060823</v>
      </c>
      <c r="P877" s="23" t="s">
        <v>2648</v>
      </c>
      <c r="Q877" s="23">
        <v>45219</v>
      </c>
      <c r="R877" s="32">
        <v>45585</v>
      </c>
      <c r="V877" s="33">
        <v>100</v>
      </c>
      <c r="W877" s="28">
        <v>64.29</v>
      </c>
      <c r="X877" s="34" t="s">
        <v>54</v>
      </c>
      <c r="Y877" s="33">
        <v>64.29</v>
      </c>
      <c r="AC877" s="28">
        <v>64.29</v>
      </c>
      <c r="AD877" s="34" t="s">
        <v>54</v>
      </c>
      <c r="AE877" s="33">
        <v>64.29</v>
      </c>
      <c r="AN877" s="7" t="s">
        <v>54</v>
      </c>
      <c r="AO877" s="7" t="s">
        <v>55</v>
      </c>
      <c r="AP877" s="7" t="s">
        <v>56</v>
      </c>
      <c r="AT877" s="47" t="s">
        <v>57</v>
      </c>
      <c r="AU877" s="47" t="s">
        <v>57</v>
      </c>
    </row>
    <row r="878" spans="1:47">
      <c r="A878" s="4" t="s">
        <v>48</v>
      </c>
      <c r="C878" s="21"/>
      <c r="D878" s="22" t="s">
        <v>49</v>
      </c>
      <c r="G878" s="23">
        <v>45089</v>
      </c>
      <c r="H878" s="24" t="s">
        <v>2649</v>
      </c>
      <c r="J878" s="28" t="s">
        <v>51</v>
      </c>
      <c r="L878" s="24" t="s">
        <v>2650</v>
      </c>
      <c r="M878" s="1" t="str">
        <f>"142724198505013113"</f>
        <v>142724198505013113</v>
      </c>
      <c r="N878" s="24" t="s">
        <v>2650</v>
      </c>
      <c r="O878" s="1" t="str">
        <f>"142724198505013113"</f>
        <v>142724198505013113</v>
      </c>
      <c r="P878" s="23" t="s">
        <v>2651</v>
      </c>
      <c r="Q878" s="23">
        <v>45291</v>
      </c>
      <c r="R878" s="32">
        <v>45657</v>
      </c>
      <c r="V878" s="33">
        <v>100</v>
      </c>
      <c r="W878" s="28">
        <v>64.29</v>
      </c>
      <c r="X878" s="34" t="s">
        <v>54</v>
      </c>
      <c r="Y878" s="33">
        <v>64.29</v>
      </c>
      <c r="AC878" s="28">
        <v>64.29</v>
      </c>
      <c r="AD878" s="34" t="s">
        <v>54</v>
      </c>
      <c r="AE878" s="33">
        <v>64.29</v>
      </c>
      <c r="AN878" s="7" t="s">
        <v>54</v>
      </c>
      <c r="AO878" s="7" t="s">
        <v>55</v>
      </c>
      <c r="AP878" s="7" t="s">
        <v>56</v>
      </c>
      <c r="AT878" s="47" t="s">
        <v>57</v>
      </c>
      <c r="AU878" s="47" t="s">
        <v>57</v>
      </c>
    </row>
    <row r="879" spans="1:47">
      <c r="A879" s="4" t="s">
        <v>48</v>
      </c>
      <c r="C879" s="21"/>
      <c r="D879" s="22" t="s">
        <v>49</v>
      </c>
      <c r="G879" s="23">
        <v>45086</v>
      </c>
      <c r="H879" s="24" t="s">
        <v>2652</v>
      </c>
      <c r="J879" s="28" t="s">
        <v>51</v>
      </c>
      <c r="L879" s="24" t="s">
        <v>2653</v>
      </c>
      <c r="M879" s="1" t="str">
        <f>"220104197909035816"</f>
        <v>220104197909035816</v>
      </c>
      <c r="N879" s="24" t="s">
        <v>2653</v>
      </c>
      <c r="O879" s="1" t="str">
        <f>"220104197909035816"</f>
        <v>220104197909035816</v>
      </c>
      <c r="P879" s="23" t="s">
        <v>2654</v>
      </c>
      <c r="Q879" s="23">
        <v>45291</v>
      </c>
      <c r="R879" s="32">
        <v>45657</v>
      </c>
      <c r="V879" s="33">
        <v>100</v>
      </c>
      <c r="W879" s="28">
        <v>64.29</v>
      </c>
      <c r="X879" s="34" t="s">
        <v>54</v>
      </c>
      <c r="Y879" s="33">
        <v>64.29</v>
      </c>
      <c r="AC879" s="28">
        <v>64.29</v>
      </c>
      <c r="AD879" s="34" t="s">
        <v>54</v>
      </c>
      <c r="AE879" s="33">
        <v>64.29</v>
      </c>
      <c r="AN879" s="7" t="s">
        <v>54</v>
      </c>
      <c r="AO879" s="7" t="s">
        <v>55</v>
      </c>
      <c r="AP879" s="7" t="s">
        <v>56</v>
      </c>
      <c r="AT879" s="47" t="s">
        <v>57</v>
      </c>
      <c r="AU879" s="47" t="s">
        <v>57</v>
      </c>
    </row>
    <row r="880" spans="1:47">
      <c r="A880" s="4" t="s">
        <v>48</v>
      </c>
      <c r="C880" s="21"/>
      <c r="D880" s="22" t="s">
        <v>49</v>
      </c>
      <c r="G880" s="23">
        <v>45075</v>
      </c>
      <c r="H880" s="24" t="s">
        <v>2655</v>
      </c>
      <c r="J880" s="28" t="s">
        <v>51</v>
      </c>
      <c r="L880" s="24" t="s">
        <v>2656</v>
      </c>
      <c r="M880" s="1" t="str">
        <f>"131022198802185946"</f>
        <v>131022198802185946</v>
      </c>
      <c r="N880" s="24" t="s">
        <v>2656</v>
      </c>
      <c r="O880" s="1" t="str">
        <f>"131022198802185946"</f>
        <v>131022198802185946</v>
      </c>
      <c r="P880" s="23" t="s">
        <v>2657</v>
      </c>
      <c r="Q880" s="23">
        <v>45076</v>
      </c>
      <c r="R880" s="32">
        <v>45442</v>
      </c>
      <c r="V880" s="33">
        <v>100</v>
      </c>
      <c r="W880" s="28">
        <v>64.29</v>
      </c>
      <c r="X880" s="34" t="s">
        <v>54</v>
      </c>
      <c r="Y880" s="33">
        <v>64.29</v>
      </c>
      <c r="AC880" s="28">
        <v>64.29</v>
      </c>
      <c r="AD880" s="34" t="s">
        <v>54</v>
      </c>
      <c r="AE880" s="33">
        <v>64.29</v>
      </c>
      <c r="AN880" s="7" t="s">
        <v>54</v>
      </c>
      <c r="AO880" s="7" t="s">
        <v>55</v>
      </c>
      <c r="AP880" s="7" t="s">
        <v>56</v>
      </c>
      <c r="AT880" s="47" t="s">
        <v>57</v>
      </c>
      <c r="AU880" s="47" t="s">
        <v>57</v>
      </c>
    </row>
    <row r="881" spans="1:47">
      <c r="A881" s="4" t="s">
        <v>48</v>
      </c>
      <c r="C881" s="21"/>
      <c r="D881" s="22" t="s">
        <v>49</v>
      </c>
      <c r="G881" s="23">
        <v>45076</v>
      </c>
      <c r="H881" s="24" t="s">
        <v>2658</v>
      </c>
      <c r="J881" s="28" t="s">
        <v>51</v>
      </c>
      <c r="L881" s="24" t="s">
        <v>2659</v>
      </c>
      <c r="M881" s="1" t="str">
        <f>"130431198603100011"</f>
        <v>130431198603100011</v>
      </c>
      <c r="N881" s="24" t="s">
        <v>2659</v>
      </c>
      <c r="O881" s="1" t="str">
        <f>"130431198603100011"</f>
        <v>130431198603100011</v>
      </c>
      <c r="P881" s="23" t="s">
        <v>2660</v>
      </c>
      <c r="Q881" s="23">
        <v>45077</v>
      </c>
      <c r="R881" s="32">
        <v>45443</v>
      </c>
      <c r="V881" s="33">
        <v>100</v>
      </c>
      <c r="W881" s="28">
        <v>64.29</v>
      </c>
      <c r="X881" s="34" t="s">
        <v>54</v>
      </c>
      <c r="Y881" s="33">
        <v>64.29</v>
      </c>
      <c r="AC881" s="28">
        <v>64.29</v>
      </c>
      <c r="AD881" s="34" t="s">
        <v>54</v>
      </c>
      <c r="AE881" s="33">
        <v>64.29</v>
      </c>
      <c r="AN881" s="7" t="s">
        <v>54</v>
      </c>
      <c r="AO881" s="7" t="s">
        <v>55</v>
      </c>
      <c r="AP881" s="7" t="s">
        <v>56</v>
      </c>
      <c r="AT881" s="47" t="s">
        <v>57</v>
      </c>
      <c r="AU881" s="47" t="s">
        <v>57</v>
      </c>
    </row>
    <row r="882" spans="1:47">
      <c r="A882" s="4" t="s">
        <v>48</v>
      </c>
      <c r="C882" s="21"/>
      <c r="D882" s="22" t="s">
        <v>49</v>
      </c>
      <c r="G882" s="23">
        <v>45075</v>
      </c>
      <c r="H882" s="24" t="s">
        <v>2661</v>
      </c>
      <c r="J882" s="28" t="s">
        <v>51</v>
      </c>
      <c r="L882" s="24" t="s">
        <v>2662</v>
      </c>
      <c r="M882" s="1" t="str">
        <f>"13108219940114292X"</f>
        <v>13108219940114292X</v>
      </c>
      <c r="N882" s="24" t="s">
        <v>2662</v>
      </c>
      <c r="O882" s="1" t="str">
        <f>"13108219940114292X"</f>
        <v>13108219940114292X</v>
      </c>
      <c r="P882" s="23" t="s">
        <v>2663</v>
      </c>
      <c r="Q882" s="23">
        <v>45076</v>
      </c>
      <c r="R882" s="32">
        <v>45442</v>
      </c>
      <c r="V882" s="33">
        <v>100</v>
      </c>
      <c r="W882" s="28">
        <v>64.29</v>
      </c>
      <c r="X882" s="34" t="s">
        <v>54</v>
      </c>
      <c r="Y882" s="33">
        <v>64.29</v>
      </c>
      <c r="AC882" s="28">
        <v>64.29</v>
      </c>
      <c r="AD882" s="34" t="s">
        <v>54</v>
      </c>
      <c r="AE882" s="33">
        <v>64.29</v>
      </c>
      <c r="AN882" s="7" t="s">
        <v>54</v>
      </c>
      <c r="AO882" s="7" t="s">
        <v>55</v>
      </c>
      <c r="AP882" s="7" t="s">
        <v>56</v>
      </c>
      <c r="AT882" s="47" t="s">
        <v>57</v>
      </c>
      <c r="AU882" s="47" t="s">
        <v>57</v>
      </c>
    </row>
    <row r="883" spans="1:47">
      <c r="A883" s="4" t="s">
        <v>48</v>
      </c>
      <c r="C883" s="21"/>
      <c r="D883" s="22" t="s">
        <v>49</v>
      </c>
      <c r="G883" s="23">
        <v>45086</v>
      </c>
      <c r="H883" s="24" t="s">
        <v>2664</v>
      </c>
      <c r="J883" s="28" t="s">
        <v>51</v>
      </c>
      <c r="L883" s="24" t="s">
        <v>2665</v>
      </c>
      <c r="M883" s="1" t="str">
        <f>"341202197108013458"</f>
        <v>341202197108013458</v>
      </c>
      <c r="N883" s="24" t="s">
        <v>2665</v>
      </c>
      <c r="O883" s="1" t="str">
        <f>"341202197108013458"</f>
        <v>341202197108013458</v>
      </c>
      <c r="P883" s="23" t="s">
        <v>2666</v>
      </c>
      <c r="Q883" s="23">
        <v>45087</v>
      </c>
      <c r="R883" s="32">
        <v>45453</v>
      </c>
      <c r="V883" s="33">
        <v>50</v>
      </c>
      <c r="W883" s="28">
        <v>64.29</v>
      </c>
      <c r="X883" s="34" t="s">
        <v>54</v>
      </c>
      <c r="Y883" s="33">
        <v>32.15</v>
      </c>
      <c r="AC883" s="28">
        <v>64.29</v>
      </c>
      <c r="AD883" s="34" t="s">
        <v>54</v>
      </c>
      <c r="AE883" s="33">
        <v>32.15</v>
      </c>
      <c r="AN883" s="7" t="s">
        <v>54</v>
      </c>
      <c r="AO883" s="7" t="s">
        <v>55</v>
      </c>
      <c r="AP883" s="7" t="s">
        <v>56</v>
      </c>
      <c r="AT883" s="47" t="s">
        <v>57</v>
      </c>
      <c r="AU883" s="47" t="s">
        <v>57</v>
      </c>
    </row>
    <row r="884" spans="1:47">
      <c r="A884" s="4" t="s">
        <v>48</v>
      </c>
      <c r="C884" s="21"/>
      <c r="D884" s="22" t="s">
        <v>49</v>
      </c>
      <c r="G884" s="23">
        <v>45086</v>
      </c>
      <c r="H884" s="24" t="s">
        <v>2667</v>
      </c>
      <c r="J884" s="28" t="s">
        <v>51</v>
      </c>
      <c r="L884" s="24" t="s">
        <v>2668</v>
      </c>
      <c r="M884" s="1" t="str">
        <f>"131082195409155815"</f>
        <v>131082195409155815</v>
      </c>
      <c r="N884" s="24" t="s">
        <v>2668</v>
      </c>
      <c r="O884" s="1" t="str">
        <f>"131082195409155815"</f>
        <v>131082195409155815</v>
      </c>
      <c r="P884" s="23" t="s">
        <v>2669</v>
      </c>
      <c r="Q884" s="23">
        <v>45087</v>
      </c>
      <c r="R884" s="32">
        <v>45453</v>
      </c>
      <c r="V884" s="33">
        <v>50</v>
      </c>
      <c r="W884" s="28">
        <v>64.29</v>
      </c>
      <c r="X884" s="34" t="s">
        <v>54</v>
      </c>
      <c r="Y884" s="33">
        <v>32.15</v>
      </c>
      <c r="AC884" s="28">
        <v>64.29</v>
      </c>
      <c r="AD884" s="34" t="s">
        <v>54</v>
      </c>
      <c r="AE884" s="33">
        <v>32.15</v>
      </c>
      <c r="AN884" s="7" t="s">
        <v>54</v>
      </c>
      <c r="AO884" s="7" t="s">
        <v>55</v>
      </c>
      <c r="AP884" s="7" t="s">
        <v>56</v>
      </c>
      <c r="AT884" s="47" t="s">
        <v>57</v>
      </c>
      <c r="AU884" s="47" t="s">
        <v>57</v>
      </c>
    </row>
    <row r="885" spans="1:47">
      <c r="A885" s="4" t="s">
        <v>48</v>
      </c>
      <c r="C885" s="21"/>
      <c r="D885" s="22" t="s">
        <v>49</v>
      </c>
      <c r="G885" s="23">
        <v>45098</v>
      </c>
      <c r="H885" s="24" t="s">
        <v>2670</v>
      </c>
      <c r="J885" s="28" t="s">
        <v>51</v>
      </c>
      <c r="L885" s="24" t="s">
        <v>2671</v>
      </c>
      <c r="M885" s="1" t="str">
        <f>"150422196007160024"</f>
        <v>150422196007160024</v>
      </c>
      <c r="N885" s="24" t="s">
        <v>2671</v>
      </c>
      <c r="O885" s="1" t="str">
        <f>"150422196007160024"</f>
        <v>150422196007160024</v>
      </c>
      <c r="P885" s="23" t="s">
        <v>2672</v>
      </c>
      <c r="Q885" s="23">
        <v>45099</v>
      </c>
      <c r="R885" s="32">
        <v>45465</v>
      </c>
      <c r="V885" s="33">
        <v>100</v>
      </c>
      <c r="W885" s="28">
        <v>64.29</v>
      </c>
      <c r="X885" s="34" t="s">
        <v>54</v>
      </c>
      <c r="Y885" s="33">
        <v>64.29</v>
      </c>
      <c r="AC885" s="28">
        <v>64.29</v>
      </c>
      <c r="AD885" s="34" t="s">
        <v>54</v>
      </c>
      <c r="AE885" s="33">
        <v>64.29</v>
      </c>
      <c r="AN885" s="7" t="s">
        <v>54</v>
      </c>
      <c r="AO885" s="7" t="s">
        <v>55</v>
      </c>
      <c r="AP885" s="7" t="s">
        <v>56</v>
      </c>
      <c r="AT885" s="47" t="s">
        <v>57</v>
      </c>
      <c r="AU885" s="47" t="s">
        <v>57</v>
      </c>
    </row>
    <row r="886" spans="1:47">
      <c r="A886" s="4" t="s">
        <v>48</v>
      </c>
      <c r="C886" s="21"/>
      <c r="D886" s="22" t="s">
        <v>49</v>
      </c>
      <c r="G886" s="23">
        <v>45098</v>
      </c>
      <c r="H886" s="24" t="s">
        <v>2673</v>
      </c>
      <c r="J886" s="28" t="s">
        <v>51</v>
      </c>
      <c r="L886" s="24" t="s">
        <v>2674</v>
      </c>
      <c r="M886" s="1" t="str">
        <f>"132821195905017827"</f>
        <v>132821195905017827</v>
      </c>
      <c r="N886" s="24" t="s">
        <v>2674</v>
      </c>
      <c r="O886" s="1" t="str">
        <f>"132821195905017827"</f>
        <v>132821195905017827</v>
      </c>
      <c r="P886" s="23" t="s">
        <v>2675</v>
      </c>
      <c r="Q886" s="23">
        <v>45170</v>
      </c>
      <c r="R886" s="32">
        <v>45536</v>
      </c>
      <c r="V886" s="33">
        <v>100</v>
      </c>
      <c r="W886" s="28">
        <v>64.29</v>
      </c>
      <c r="X886" s="34" t="s">
        <v>54</v>
      </c>
      <c r="Y886" s="33">
        <v>64.29</v>
      </c>
      <c r="AC886" s="28">
        <v>64.29</v>
      </c>
      <c r="AD886" s="34" t="s">
        <v>54</v>
      </c>
      <c r="AE886" s="33">
        <v>64.29</v>
      </c>
      <c r="AN886" s="7" t="s">
        <v>54</v>
      </c>
      <c r="AO886" s="7" t="s">
        <v>55</v>
      </c>
      <c r="AP886" s="7" t="s">
        <v>56</v>
      </c>
      <c r="AT886" s="47" t="s">
        <v>57</v>
      </c>
      <c r="AU886" s="47" t="s">
        <v>57</v>
      </c>
    </row>
    <row r="887" spans="1:47">
      <c r="A887" s="4" t="s">
        <v>48</v>
      </c>
      <c r="C887" s="21"/>
      <c r="D887" s="22" t="s">
        <v>49</v>
      </c>
      <c r="G887" s="23">
        <v>45096</v>
      </c>
      <c r="H887" s="24" t="s">
        <v>2676</v>
      </c>
      <c r="J887" s="28" t="s">
        <v>51</v>
      </c>
      <c r="L887" s="24" t="s">
        <v>2677</v>
      </c>
      <c r="M887" s="1" t="str">
        <f>"110102196404261559"</f>
        <v>110102196404261559</v>
      </c>
      <c r="N887" s="24" t="s">
        <v>2677</v>
      </c>
      <c r="O887" s="1" t="str">
        <f>"110102196404261559"</f>
        <v>110102196404261559</v>
      </c>
      <c r="P887" s="23" t="s">
        <v>2678</v>
      </c>
      <c r="Q887" s="23">
        <v>45189</v>
      </c>
      <c r="R887" s="32">
        <v>45555</v>
      </c>
      <c r="V887" s="33">
        <v>100</v>
      </c>
      <c r="W887" s="28">
        <v>64.29</v>
      </c>
      <c r="X887" s="34" t="s">
        <v>54</v>
      </c>
      <c r="Y887" s="33">
        <v>64.29</v>
      </c>
      <c r="AC887" s="28">
        <v>64.29</v>
      </c>
      <c r="AD887" s="34" t="s">
        <v>54</v>
      </c>
      <c r="AE887" s="33">
        <v>64.29</v>
      </c>
      <c r="AN887" s="7" t="s">
        <v>54</v>
      </c>
      <c r="AO887" s="7" t="s">
        <v>55</v>
      </c>
      <c r="AP887" s="7" t="s">
        <v>56</v>
      </c>
      <c r="AT887" s="47" t="s">
        <v>57</v>
      </c>
      <c r="AU887" s="47" t="s">
        <v>57</v>
      </c>
    </row>
    <row r="888" spans="1:47">
      <c r="A888" s="4" t="s">
        <v>48</v>
      </c>
      <c r="C888" s="21"/>
      <c r="D888" s="22" t="s">
        <v>49</v>
      </c>
      <c r="G888" s="23">
        <v>45096</v>
      </c>
      <c r="H888" s="24" t="s">
        <v>2679</v>
      </c>
      <c r="J888" s="28" t="s">
        <v>51</v>
      </c>
      <c r="L888" s="24" t="s">
        <v>2680</v>
      </c>
      <c r="M888" s="1" t="str">
        <f>"131082195504270344"</f>
        <v>131082195504270344</v>
      </c>
      <c r="N888" s="24" t="s">
        <v>2680</v>
      </c>
      <c r="O888" s="1" t="str">
        <f>"131082195504270344"</f>
        <v>131082195504270344</v>
      </c>
      <c r="P888" s="23" t="s">
        <v>2681</v>
      </c>
      <c r="Q888" s="23">
        <v>45200</v>
      </c>
      <c r="R888" s="32">
        <v>45566</v>
      </c>
      <c r="V888" s="33">
        <v>100</v>
      </c>
      <c r="W888" s="28">
        <v>64.29</v>
      </c>
      <c r="X888" s="34" t="s">
        <v>54</v>
      </c>
      <c r="Y888" s="33">
        <v>64.29</v>
      </c>
      <c r="AC888" s="28">
        <v>64.29</v>
      </c>
      <c r="AD888" s="34" t="s">
        <v>54</v>
      </c>
      <c r="AE888" s="33">
        <v>64.29</v>
      </c>
      <c r="AN888" s="7" t="s">
        <v>54</v>
      </c>
      <c r="AO888" s="7" t="s">
        <v>55</v>
      </c>
      <c r="AP888" s="7" t="s">
        <v>56</v>
      </c>
      <c r="AT888" s="47" t="s">
        <v>57</v>
      </c>
      <c r="AU888" s="47" t="s">
        <v>57</v>
      </c>
    </row>
    <row r="889" spans="1:47">
      <c r="A889" s="4" t="s">
        <v>48</v>
      </c>
      <c r="C889" s="21"/>
      <c r="D889" s="22" t="s">
        <v>49</v>
      </c>
      <c r="G889" s="23">
        <v>45096</v>
      </c>
      <c r="H889" s="24" t="s">
        <v>2682</v>
      </c>
      <c r="J889" s="28" t="s">
        <v>51</v>
      </c>
      <c r="L889" s="24" t="s">
        <v>2683</v>
      </c>
      <c r="M889" s="1" t="str">
        <f>"342121197303280038"</f>
        <v>342121197303280038</v>
      </c>
      <c r="N889" s="24" t="s">
        <v>2683</v>
      </c>
      <c r="O889" s="1" t="str">
        <f>"342121197303280038"</f>
        <v>342121197303280038</v>
      </c>
      <c r="P889" s="23" t="s">
        <v>2684</v>
      </c>
      <c r="Q889" s="23">
        <v>45097</v>
      </c>
      <c r="R889" s="32">
        <v>45463</v>
      </c>
      <c r="V889" s="33">
        <v>100</v>
      </c>
      <c r="W889" s="28">
        <v>64.29</v>
      </c>
      <c r="X889" s="34" t="s">
        <v>54</v>
      </c>
      <c r="Y889" s="33">
        <v>64.29</v>
      </c>
      <c r="AC889" s="28">
        <v>64.29</v>
      </c>
      <c r="AD889" s="34" t="s">
        <v>54</v>
      </c>
      <c r="AE889" s="33">
        <v>64.29</v>
      </c>
      <c r="AN889" s="7" t="s">
        <v>54</v>
      </c>
      <c r="AO889" s="7" t="s">
        <v>55</v>
      </c>
      <c r="AP889" s="7" t="s">
        <v>56</v>
      </c>
      <c r="AT889" s="47" t="s">
        <v>57</v>
      </c>
      <c r="AU889" s="47" t="s">
        <v>57</v>
      </c>
    </row>
    <row r="890" spans="1:47">
      <c r="A890" s="4" t="s">
        <v>48</v>
      </c>
      <c r="C890" s="21"/>
      <c r="D890" s="22" t="s">
        <v>49</v>
      </c>
      <c r="G890" s="23">
        <v>45097</v>
      </c>
      <c r="H890" s="24" t="s">
        <v>2685</v>
      </c>
      <c r="J890" s="28" t="s">
        <v>51</v>
      </c>
      <c r="L890" s="24" t="s">
        <v>2686</v>
      </c>
      <c r="M890" s="1" t="str">
        <f>"341202198805063543"</f>
        <v>341202198805063543</v>
      </c>
      <c r="N890" s="24" t="s">
        <v>2686</v>
      </c>
      <c r="O890" s="1" t="str">
        <f>"341202198805063543"</f>
        <v>341202198805063543</v>
      </c>
      <c r="P890" s="23" t="s">
        <v>2687</v>
      </c>
      <c r="Q890" s="23">
        <v>45098</v>
      </c>
      <c r="R890" s="32">
        <v>45464</v>
      </c>
      <c r="V890" s="33">
        <v>100</v>
      </c>
      <c r="W890" s="28">
        <v>64.29</v>
      </c>
      <c r="X890" s="34" t="s">
        <v>54</v>
      </c>
      <c r="Y890" s="33">
        <v>64.29</v>
      </c>
      <c r="AC890" s="28">
        <v>64.29</v>
      </c>
      <c r="AD890" s="34" t="s">
        <v>54</v>
      </c>
      <c r="AE890" s="33">
        <v>64.29</v>
      </c>
      <c r="AN890" s="7" t="s">
        <v>54</v>
      </c>
      <c r="AO890" s="7" t="s">
        <v>55</v>
      </c>
      <c r="AP890" s="7" t="s">
        <v>56</v>
      </c>
      <c r="AT890" s="47" t="s">
        <v>57</v>
      </c>
      <c r="AU890" s="47" t="s">
        <v>57</v>
      </c>
    </row>
    <row r="891" spans="1:47">
      <c r="A891" s="4" t="s">
        <v>48</v>
      </c>
      <c r="C891" s="21"/>
      <c r="D891" s="22" t="s">
        <v>49</v>
      </c>
      <c r="G891" s="23">
        <v>45097</v>
      </c>
      <c r="H891" s="24" t="s">
        <v>2688</v>
      </c>
      <c r="J891" s="28" t="s">
        <v>51</v>
      </c>
      <c r="L891" s="24" t="s">
        <v>2689</v>
      </c>
      <c r="M891" s="1" t="str">
        <f>"341202199904041512"</f>
        <v>341202199904041512</v>
      </c>
      <c r="N891" s="24" t="s">
        <v>2689</v>
      </c>
      <c r="O891" s="1" t="str">
        <f>"341202199904041512"</f>
        <v>341202199904041512</v>
      </c>
      <c r="P891" s="23" t="s">
        <v>2690</v>
      </c>
      <c r="Q891" s="23">
        <v>45308</v>
      </c>
      <c r="R891" s="32">
        <v>45674</v>
      </c>
      <c r="V891" s="33">
        <v>100</v>
      </c>
      <c r="W891" s="28">
        <v>64.29</v>
      </c>
      <c r="X891" s="34" t="s">
        <v>54</v>
      </c>
      <c r="Y891" s="33">
        <v>64.29</v>
      </c>
      <c r="AC891" s="28">
        <v>64.29</v>
      </c>
      <c r="AD891" s="34" t="s">
        <v>54</v>
      </c>
      <c r="AE891" s="33">
        <v>64.29</v>
      </c>
      <c r="AN891" s="7" t="s">
        <v>54</v>
      </c>
      <c r="AO891" s="7" t="s">
        <v>55</v>
      </c>
      <c r="AP891" s="7" t="s">
        <v>56</v>
      </c>
      <c r="AT891" s="47" t="s">
        <v>57</v>
      </c>
      <c r="AU891" s="47" t="s">
        <v>57</v>
      </c>
    </row>
    <row r="892" spans="1:47">
      <c r="A892" s="4" t="s">
        <v>48</v>
      </c>
      <c r="C892" s="21"/>
      <c r="D892" s="22" t="s">
        <v>49</v>
      </c>
      <c r="G892" s="23">
        <v>45085</v>
      </c>
      <c r="H892" s="24" t="s">
        <v>2691</v>
      </c>
      <c r="J892" s="28" t="s">
        <v>51</v>
      </c>
      <c r="L892" s="24" t="s">
        <v>2692</v>
      </c>
      <c r="M892" s="1" t="str">
        <f>"130322198603170026"</f>
        <v>130322198603170026</v>
      </c>
      <c r="N892" s="24" t="s">
        <v>2692</v>
      </c>
      <c r="O892" s="1" t="str">
        <f>"130322198603170026"</f>
        <v>130322198603170026</v>
      </c>
      <c r="P892" s="23" t="s">
        <v>2693</v>
      </c>
      <c r="Q892" s="23">
        <v>45086</v>
      </c>
      <c r="R892" s="32">
        <v>45452</v>
      </c>
      <c r="V892" s="33">
        <v>100</v>
      </c>
      <c r="W892" s="28">
        <v>64.29</v>
      </c>
      <c r="X892" s="34" t="s">
        <v>54</v>
      </c>
      <c r="Y892" s="33">
        <v>64.29</v>
      </c>
      <c r="AC892" s="28">
        <v>64.29</v>
      </c>
      <c r="AD892" s="34" t="s">
        <v>54</v>
      </c>
      <c r="AE892" s="33">
        <v>64.29</v>
      </c>
      <c r="AN892" s="7" t="s">
        <v>54</v>
      </c>
      <c r="AO892" s="7" t="s">
        <v>55</v>
      </c>
      <c r="AP892" s="7" t="s">
        <v>56</v>
      </c>
      <c r="AT892" s="47" t="s">
        <v>57</v>
      </c>
      <c r="AU892" s="47" t="s">
        <v>57</v>
      </c>
    </row>
    <row r="893" spans="1:47">
      <c r="A893" s="4" t="s">
        <v>48</v>
      </c>
      <c r="C893" s="21"/>
      <c r="D893" s="22" t="s">
        <v>49</v>
      </c>
      <c r="G893" s="23">
        <v>45085</v>
      </c>
      <c r="H893" s="24" t="s">
        <v>2694</v>
      </c>
      <c r="J893" s="28" t="s">
        <v>51</v>
      </c>
      <c r="L893" s="24" t="s">
        <v>2695</v>
      </c>
      <c r="M893" s="1" t="str">
        <f>"130825198909102911"</f>
        <v>130825198909102911</v>
      </c>
      <c r="N893" s="24" t="s">
        <v>2695</v>
      </c>
      <c r="O893" s="1" t="str">
        <f>"130825198909102911"</f>
        <v>130825198909102911</v>
      </c>
      <c r="P893" s="23" t="s">
        <v>2696</v>
      </c>
      <c r="Q893" s="23">
        <v>45086</v>
      </c>
      <c r="R893" s="32">
        <v>45452</v>
      </c>
      <c r="V893" s="33">
        <v>100</v>
      </c>
      <c r="W893" s="28">
        <v>64.29</v>
      </c>
      <c r="X893" s="34" t="s">
        <v>54</v>
      </c>
      <c r="Y893" s="33">
        <v>64.29</v>
      </c>
      <c r="AC893" s="28">
        <v>64.29</v>
      </c>
      <c r="AD893" s="34" t="s">
        <v>54</v>
      </c>
      <c r="AE893" s="33">
        <v>64.29</v>
      </c>
      <c r="AN893" s="7" t="s">
        <v>54</v>
      </c>
      <c r="AO893" s="7" t="s">
        <v>55</v>
      </c>
      <c r="AP893" s="7" t="s">
        <v>56</v>
      </c>
      <c r="AT893" s="47" t="s">
        <v>57</v>
      </c>
      <c r="AU893" s="47" t="s">
        <v>57</v>
      </c>
    </row>
    <row r="894" spans="1:47">
      <c r="A894" s="4" t="s">
        <v>48</v>
      </c>
      <c r="C894" s="21"/>
      <c r="D894" s="22" t="s">
        <v>49</v>
      </c>
      <c r="G894" s="23">
        <v>45085</v>
      </c>
      <c r="H894" s="24" t="s">
        <v>2697</v>
      </c>
      <c r="J894" s="28" t="s">
        <v>51</v>
      </c>
      <c r="L894" s="24" t="s">
        <v>2698</v>
      </c>
      <c r="M894" s="1" t="str">
        <f>"341222198901164366"</f>
        <v>341222198901164366</v>
      </c>
      <c r="N894" s="24" t="s">
        <v>2698</v>
      </c>
      <c r="O894" s="1" t="str">
        <f>"341222198901164366"</f>
        <v>341222198901164366</v>
      </c>
      <c r="P894" s="23" t="s">
        <v>2699</v>
      </c>
      <c r="Q894" s="23">
        <v>45120</v>
      </c>
      <c r="R894" s="32">
        <v>45486</v>
      </c>
      <c r="V894" s="33">
        <v>100</v>
      </c>
      <c r="W894" s="28">
        <v>64.29</v>
      </c>
      <c r="X894" s="34" t="s">
        <v>54</v>
      </c>
      <c r="Y894" s="33">
        <v>64.29</v>
      </c>
      <c r="AC894" s="28">
        <v>64.29</v>
      </c>
      <c r="AD894" s="34" t="s">
        <v>54</v>
      </c>
      <c r="AE894" s="33">
        <v>64.29</v>
      </c>
      <c r="AN894" s="7" t="s">
        <v>54</v>
      </c>
      <c r="AO894" s="7" t="s">
        <v>55</v>
      </c>
      <c r="AP894" s="7" t="s">
        <v>56</v>
      </c>
      <c r="AT894" s="47" t="s">
        <v>57</v>
      </c>
      <c r="AU894" s="47" t="s">
        <v>57</v>
      </c>
    </row>
    <row r="895" spans="1:47">
      <c r="A895" s="4" t="s">
        <v>48</v>
      </c>
      <c r="C895" s="21"/>
      <c r="D895" s="22" t="s">
        <v>49</v>
      </c>
      <c r="G895" s="23">
        <v>45072</v>
      </c>
      <c r="H895" s="24" t="s">
        <v>2700</v>
      </c>
      <c r="J895" s="28" t="s">
        <v>51</v>
      </c>
      <c r="L895" s="24" t="s">
        <v>2701</v>
      </c>
      <c r="M895" s="1" t="str">
        <f>"341226198309064839"</f>
        <v>341226198309064839</v>
      </c>
      <c r="N895" s="24" t="s">
        <v>2701</v>
      </c>
      <c r="O895" s="1" t="str">
        <f>"341226198309064839"</f>
        <v>341226198309064839</v>
      </c>
      <c r="P895" s="23" t="s">
        <v>2702</v>
      </c>
      <c r="Q895" s="23">
        <v>45073</v>
      </c>
      <c r="R895" s="32">
        <v>45439</v>
      </c>
      <c r="V895" s="33">
        <v>100</v>
      </c>
      <c r="W895" s="28">
        <v>64.29</v>
      </c>
      <c r="X895" s="34" t="s">
        <v>54</v>
      </c>
      <c r="Y895" s="33">
        <v>64.29</v>
      </c>
      <c r="AC895" s="28">
        <v>64.29</v>
      </c>
      <c r="AD895" s="34" t="s">
        <v>54</v>
      </c>
      <c r="AE895" s="33">
        <v>64.29</v>
      </c>
      <c r="AN895" s="7" t="s">
        <v>54</v>
      </c>
      <c r="AO895" s="7" t="s">
        <v>55</v>
      </c>
      <c r="AP895" s="7" t="s">
        <v>56</v>
      </c>
      <c r="AT895" s="47" t="s">
        <v>57</v>
      </c>
      <c r="AU895" s="47" t="s">
        <v>57</v>
      </c>
    </row>
    <row r="896" spans="1:47">
      <c r="A896" s="4" t="s">
        <v>48</v>
      </c>
      <c r="C896" s="21"/>
      <c r="D896" s="22" t="s">
        <v>49</v>
      </c>
      <c r="G896" s="23">
        <v>45072</v>
      </c>
      <c r="H896" s="24" t="s">
        <v>2703</v>
      </c>
      <c r="J896" s="28" t="s">
        <v>51</v>
      </c>
      <c r="L896" s="24" t="s">
        <v>2704</v>
      </c>
      <c r="M896" s="1" t="str">
        <f>"342426198710114283"</f>
        <v>342426198710114283</v>
      </c>
      <c r="N896" s="24" t="s">
        <v>2704</v>
      </c>
      <c r="O896" s="1" t="str">
        <f>"342426198710114283"</f>
        <v>342426198710114283</v>
      </c>
      <c r="P896" s="23" t="s">
        <v>2705</v>
      </c>
      <c r="Q896" s="23">
        <v>45073</v>
      </c>
      <c r="R896" s="32">
        <v>45439</v>
      </c>
      <c r="V896" s="33">
        <v>100</v>
      </c>
      <c r="W896" s="28">
        <v>64.29</v>
      </c>
      <c r="X896" s="34" t="s">
        <v>54</v>
      </c>
      <c r="Y896" s="33">
        <v>64.29</v>
      </c>
      <c r="AC896" s="28">
        <v>64.29</v>
      </c>
      <c r="AD896" s="34" t="s">
        <v>54</v>
      </c>
      <c r="AE896" s="33">
        <v>64.29</v>
      </c>
      <c r="AN896" s="7" t="s">
        <v>54</v>
      </c>
      <c r="AO896" s="7" t="s">
        <v>55</v>
      </c>
      <c r="AP896" s="7" t="s">
        <v>56</v>
      </c>
      <c r="AT896" s="47" t="s">
        <v>57</v>
      </c>
      <c r="AU896" s="47" t="s">
        <v>57</v>
      </c>
    </row>
    <row r="897" spans="1:47">
      <c r="A897" s="4" t="s">
        <v>48</v>
      </c>
      <c r="C897" s="21"/>
      <c r="D897" s="22" t="s">
        <v>49</v>
      </c>
      <c r="G897" s="23">
        <v>45072</v>
      </c>
      <c r="H897" s="24" t="s">
        <v>2706</v>
      </c>
      <c r="J897" s="28" t="s">
        <v>51</v>
      </c>
      <c r="L897" s="24" t="s">
        <v>2707</v>
      </c>
      <c r="M897" s="1" t="str">
        <f>"341202198603012051"</f>
        <v>341202198603012051</v>
      </c>
      <c r="N897" s="24" t="s">
        <v>2707</v>
      </c>
      <c r="O897" s="1" t="str">
        <f>"341202198603012051"</f>
        <v>341202198603012051</v>
      </c>
      <c r="P897" s="23" t="s">
        <v>2708</v>
      </c>
      <c r="Q897" s="23">
        <v>45073</v>
      </c>
      <c r="R897" s="32">
        <v>45439</v>
      </c>
      <c r="V897" s="33">
        <v>100</v>
      </c>
      <c r="W897" s="28">
        <v>64.29</v>
      </c>
      <c r="X897" s="34" t="s">
        <v>54</v>
      </c>
      <c r="Y897" s="33">
        <v>64.29</v>
      </c>
      <c r="AC897" s="28">
        <v>64.29</v>
      </c>
      <c r="AD897" s="34" t="s">
        <v>54</v>
      </c>
      <c r="AE897" s="33">
        <v>64.29</v>
      </c>
      <c r="AN897" s="7" t="s">
        <v>54</v>
      </c>
      <c r="AO897" s="7" t="s">
        <v>55</v>
      </c>
      <c r="AP897" s="7" t="s">
        <v>56</v>
      </c>
      <c r="AT897" s="47" t="s">
        <v>57</v>
      </c>
      <c r="AU897" s="47" t="s">
        <v>57</v>
      </c>
    </row>
    <row r="898" spans="1:47">
      <c r="A898" s="4" t="s">
        <v>48</v>
      </c>
      <c r="C898" s="21"/>
      <c r="D898" s="22" t="s">
        <v>49</v>
      </c>
      <c r="G898" s="23">
        <v>45072</v>
      </c>
      <c r="H898" s="24" t="s">
        <v>2709</v>
      </c>
      <c r="J898" s="28" t="s">
        <v>51</v>
      </c>
      <c r="L898" s="24" t="s">
        <v>2710</v>
      </c>
      <c r="M898" s="1" t="str">
        <f>"230223194712032526"</f>
        <v>230223194712032526</v>
      </c>
      <c r="N898" s="24" t="s">
        <v>2710</v>
      </c>
      <c r="O898" s="1" t="str">
        <f>"230223194712032526"</f>
        <v>230223194712032526</v>
      </c>
      <c r="P898" s="23" t="s">
        <v>2711</v>
      </c>
      <c r="Q898" s="23">
        <v>45261</v>
      </c>
      <c r="R898" s="32">
        <v>45627</v>
      </c>
      <c r="V898" s="33">
        <v>100</v>
      </c>
      <c r="W898" s="28">
        <v>64.29</v>
      </c>
      <c r="X898" s="34" t="s">
        <v>54</v>
      </c>
      <c r="Y898" s="33">
        <v>64.29</v>
      </c>
      <c r="AC898" s="28">
        <v>64.29</v>
      </c>
      <c r="AD898" s="34" t="s">
        <v>54</v>
      </c>
      <c r="AE898" s="33">
        <v>64.29</v>
      </c>
      <c r="AN898" s="7" t="s">
        <v>54</v>
      </c>
      <c r="AO898" s="7" t="s">
        <v>55</v>
      </c>
      <c r="AP898" s="7" t="s">
        <v>56</v>
      </c>
      <c r="AT898" s="47" t="s">
        <v>57</v>
      </c>
      <c r="AU898" s="47" t="s">
        <v>57</v>
      </c>
    </row>
    <row r="899" spans="1:47">
      <c r="A899" s="4" t="s">
        <v>48</v>
      </c>
      <c r="C899" s="21"/>
      <c r="D899" s="22" t="s">
        <v>49</v>
      </c>
      <c r="G899" s="23">
        <v>45072</v>
      </c>
      <c r="H899" s="24" t="s">
        <v>2712</v>
      </c>
      <c r="J899" s="28" t="s">
        <v>51</v>
      </c>
      <c r="L899" s="24" t="s">
        <v>2713</v>
      </c>
      <c r="M899" s="1" t="str">
        <f>"342127198202278521"</f>
        <v>342127198202278521</v>
      </c>
      <c r="N899" s="24" t="s">
        <v>2713</v>
      </c>
      <c r="O899" s="1" t="str">
        <f>"342127198202278521"</f>
        <v>342127198202278521</v>
      </c>
      <c r="P899" s="23" t="s">
        <v>2714</v>
      </c>
      <c r="Q899" s="23">
        <v>45073</v>
      </c>
      <c r="R899" s="32">
        <v>45439</v>
      </c>
      <c r="V899" s="33">
        <v>100</v>
      </c>
      <c r="W899" s="28">
        <v>64.29</v>
      </c>
      <c r="X899" s="34" t="s">
        <v>54</v>
      </c>
      <c r="Y899" s="33">
        <v>64.29</v>
      </c>
      <c r="AC899" s="28">
        <v>64.29</v>
      </c>
      <c r="AD899" s="34" t="s">
        <v>54</v>
      </c>
      <c r="AE899" s="33">
        <v>64.29</v>
      </c>
      <c r="AN899" s="7" t="s">
        <v>54</v>
      </c>
      <c r="AO899" s="7" t="s">
        <v>55</v>
      </c>
      <c r="AP899" s="7" t="s">
        <v>56</v>
      </c>
      <c r="AT899" s="47" t="s">
        <v>57</v>
      </c>
      <c r="AU899" s="47" t="s">
        <v>57</v>
      </c>
    </row>
    <row r="900" spans="1:47">
      <c r="A900" s="4" t="s">
        <v>48</v>
      </c>
      <c r="C900" s="21"/>
      <c r="D900" s="22" t="s">
        <v>49</v>
      </c>
      <c r="G900" s="23">
        <v>45072</v>
      </c>
      <c r="H900" s="24" t="s">
        <v>2715</v>
      </c>
      <c r="J900" s="28" t="s">
        <v>51</v>
      </c>
      <c r="L900" s="24" t="s">
        <v>2716</v>
      </c>
      <c r="M900" s="1" t="str">
        <f>"341202199506013575"</f>
        <v>341202199506013575</v>
      </c>
      <c r="N900" s="24" t="s">
        <v>2716</v>
      </c>
      <c r="O900" s="1" t="str">
        <f>"341202199506013575"</f>
        <v>341202199506013575</v>
      </c>
      <c r="P900" s="23" t="s">
        <v>2717</v>
      </c>
      <c r="Q900" s="23">
        <v>45226</v>
      </c>
      <c r="R900" s="32">
        <v>45592</v>
      </c>
      <c r="V900" s="33">
        <v>100</v>
      </c>
      <c r="W900" s="28">
        <v>64.29</v>
      </c>
      <c r="X900" s="34" t="s">
        <v>54</v>
      </c>
      <c r="Y900" s="33">
        <v>64.29</v>
      </c>
      <c r="AC900" s="28">
        <v>64.29</v>
      </c>
      <c r="AD900" s="34" t="s">
        <v>54</v>
      </c>
      <c r="AE900" s="33">
        <v>64.29</v>
      </c>
      <c r="AN900" s="7" t="s">
        <v>54</v>
      </c>
      <c r="AO900" s="7" t="s">
        <v>55</v>
      </c>
      <c r="AP900" s="7" t="s">
        <v>56</v>
      </c>
      <c r="AT900" s="47" t="s">
        <v>57</v>
      </c>
      <c r="AU900" s="47" t="s">
        <v>57</v>
      </c>
    </row>
    <row r="901" spans="1:47">
      <c r="A901" s="4" t="s">
        <v>48</v>
      </c>
      <c r="C901" s="21"/>
      <c r="D901" s="22" t="s">
        <v>49</v>
      </c>
      <c r="G901" s="23">
        <v>45083</v>
      </c>
      <c r="H901" s="24" t="s">
        <v>2718</v>
      </c>
      <c r="J901" s="28" t="s">
        <v>51</v>
      </c>
      <c r="L901" s="24" t="s">
        <v>2719</v>
      </c>
      <c r="M901" s="1" t="str">
        <f>"131082197410110138"</f>
        <v>131082197410110138</v>
      </c>
      <c r="N901" s="24" t="s">
        <v>2719</v>
      </c>
      <c r="O901" s="1" t="str">
        <f>"131082197410110138"</f>
        <v>131082197410110138</v>
      </c>
      <c r="P901" s="23" t="s">
        <v>2720</v>
      </c>
      <c r="Q901" s="23">
        <v>45084</v>
      </c>
      <c r="R901" s="32">
        <v>45450</v>
      </c>
      <c r="V901" s="33">
        <v>50</v>
      </c>
      <c r="W901" s="28">
        <v>64.29</v>
      </c>
      <c r="X901" s="34" t="s">
        <v>54</v>
      </c>
      <c r="Y901" s="33">
        <v>32.15</v>
      </c>
      <c r="AC901" s="28">
        <v>64.29</v>
      </c>
      <c r="AD901" s="34" t="s">
        <v>54</v>
      </c>
      <c r="AE901" s="33">
        <v>32.15</v>
      </c>
      <c r="AN901" s="7" t="s">
        <v>54</v>
      </c>
      <c r="AO901" s="7" t="s">
        <v>55</v>
      </c>
      <c r="AP901" s="7" t="s">
        <v>56</v>
      </c>
      <c r="AT901" s="47" t="s">
        <v>57</v>
      </c>
      <c r="AU901" s="47" t="s">
        <v>57</v>
      </c>
    </row>
    <row r="902" spans="1:47">
      <c r="A902" s="4" t="s">
        <v>48</v>
      </c>
      <c r="C902" s="21"/>
      <c r="D902" s="22" t="s">
        <v>49</v>
      </c>
      <c r="G902" s="23">
        <v>45083</v>
      </c>
      <c r="H902" s="24" t="s">
        <v>2721</v>
      </c>
      <c r="J902" s="28" t="s">
        <v>51</v>
      </c>
      <c r="L902" s="24" t="s">
        <v>2722</v>
      </c>
      <c r="M902" s="1" t="str">
        <f>"372323198501082124"</f>
        <v>372323198501082124</v>
      </c>
      <c r="N902" s="24" t="s">
        <v>2722</v>
      </c>
      <c r="O902" s="1" t="str">
        <f>"372323198501082124"</f>
        <v>372323198501082124</v>
      </c>
      <c r="P902" s="23" t="s">
        <v>2723</v>
      </c>
      <c r="Q902" s="23">
        <v>45084</v>
      </c>
      <c r="R902" s="32">
        <v>45450</v>
      </c>
      <c r="V902" s="33">
        <v>50</v>
      </c>
      <c r="W902" s="28">
        <v>64.29</v>
      </c>
      <c r="X902" s="34" t="s">
        <v>54</v>
      </c>
      <c r="Y902" s="33">
        <v>32.15</v>
      </c>
      <c r="AC902" s="28">
        <v>64.29</v>
      </c>
      <c r="AD902" s="34" t="s">
        <v>54</v>
      </c>
      <c r="AE902" s="33">
        <v>32.15</v>
      </c>
      <c r="AN902" s="7" t="s">
        <v>54</v>
      </c>
      <c r="AO902" s="7" t="s">
        <v>55</v>
      </c>
      <c r="AP902" s="7" t="s">
        <v>56</v>
      </c>
      <c r="AT902" s="47" t="s">
        <v>57</v>
      </c>
      <c r="AU902" s="47" t="s">
        <v>57</v>
      </c>
    </row>
    <row r="903" spans="1:47">
      <c r="A903" s="4" t="s">
        <v>48</v>
      </c>
      <c r="C903" s="21"/>
      <c r="D903" s="22" t="s">
        <v>49</v>
      </c>
      <c r="G903" s="23">
        <v>45096</v>
      </c>
      <c r="H903" s="24" t="s">
        <v>2724</v>
      </c>
      <c r="J903" s="28" t="s">
        <v>51</v>
      </c>
      <c r="L903" s="24" t="s">
        <v>2725</v>
      </c>
      <c r="M903" s="1" t="str">
        <f>"230281198510202883"</f>
        <v>230281198510202883</v>
      </c>
      <c r="N903" s="24" t="s">
        <v>2725</v>
      </c>
      <c r="O903" s="1" t="str">
        <f>"230281198510202883"</f>
        <v>230281198510202883</v>
      </c>
      <c r="P903" s="23" t="s">
        <v>2726</v>
      </c>
      <c r="Q903" s="23">
        <v>45189</v>
      </c>
      <c r="R903" s="32">
        <v>45555</v>
      </c>
      <c r="V903" s="33">
        <v>100</v>
      </c>
      <c r="W903" s="28">
        <v>64.29</v>
      </c>
      <c r="X903" s="34" t="s">
        <v>54</v>
      </c>
      <c r="Y903" s="33">
        <v>64.29</v>
      </c>
      <c r="AC903" s="28">
        <v>64.29</v>
      </c>
      <c r="AD903" s="34" t="s">
        <v>54</v>
      </c>
      <c r="AE903" s="33">
        <v>64.29</v>
      </c>
      <c r="AN903" s="7" t="s">
        <v>54</v>
      </c>
      <c r="AO903" s="7" t="s">
        <v>55</v>
      </c>
      <c r="AP903" s="7" t="s">
        <v>56</v>
      </c>
      <c r="AT903" s="47" t="s">
        <v>57</v>
      </c>
      <c r="AU903" s="47" t="s">
        <v>57</v>
      </c>
    </row>
    <row r="904" spans="1:47">
      <c r="A904" s="4" t="s">
        <v>48</v>
      </c>
      <c r="C904" s="21"/>
      <c r="D904" s="22" t="s">
        <v>49</v>
      </c>
      <c r="G904" s="23">
        <v>45097</v>
      </c>
      <c r="H904" s="24" t="s">
        <v>2727</v>
      </c>
      <c r="J904" s="28" t="s">
        <v>51</v>
      </c>
      <c r="L904" s="24" t="s">
        <v>2728</v>
      </c>
      <c r="M904" s="1" t="str">
        <f>"132823197505282412"</f>
        <v>132823197505282412</v>
      </c>
      <c r="N904" s="24" t="s">
        <v>2728</v>
      </c>
      <c r="O904" s="1" t="str">
        <f>"132823197505282412"</f>
        <v>132823197505282412</v>
      </c>
      <c r="P904" s="23" t="s">
        <v>2729</v>
      </c>
      <c r="Q904" s="23">
        <v>45098</v>
      </c>
      <c r="R904" s="32">
        <v>45464</v>
      </c>
      <c r="V904" s="33">
        <v>100</v>
      </c>
      <c r="W904" s="28">
        <v>64.29</v>
      </c>
      <c r="X904" s="34" t="s">
        <v>54</v>
      </c>
      <c r="Y904" s="33">
        <v>64.29</v>
      </c>
      <c r="AC904" s="28">
        <v>64.29</v>
      </c>
      <c r="AD904" s="34" t="s">
        <v>54</v>
      </c>
      <c r="AE904" s="33">
        <v>64.29</v>
      </c>
      <c r="AN904" s="7" t="s">
        <v>54</v>
      </c>
      <c r="AO904" s="7" t="s">
        <v>55</v>
      </c>
      <c r="AP904" s="7" t="s">
        <v>56</v>
      </c>
      <c r="AT904" s="47" t="s">
        <v>57</v>
      </c>
      <c r="AU904" s="47" t="s">
        <v>57</v>
      </c>
    </row>
    <row r="905" spans="1:47">
      <c r="A905" s="4" t="s">
        <v>48</v>
      </c>
      <c r="C905" s="21"/>
      <c r="D905" s="22" t="s">
        <v>49</v>
      </c>
      <c r="G905" s="23">
        <v>45086</v>
      </c>
      <c r="H905" s="24" t="s">
        <v>2730</v>
      </c>
      <c r="J905" s="28" t="s">
        <v>51</v>
      </c>
      <c r="L905" s="24" t="s">
        <v>2731</v>
      </c>
      <c r="M905" s="1" t="str">
        <f>"341204198008221628"</f>
        <v>341204198008221628</v>
      </c>
      <c r="N905" s="24" t="s">
        <v>2731</v>
      </c>
      <c r="O905" s="1" t="str">
        <f>"341204198008221628"</f>
        <v>341204198008221628</v>
      </c>
      <c r="P905" s="23" t="s">
        <v>2732</v>
      </c>
      <c r="Q905" s="23">
        <v>45087</v>
      </c>
      <c r="R905" s="32">
        <v>45453</v>
      </c>
      <c r="V905" s="33">
        <v>100</v>
      </c>
      <c r="W905" s="28">
        <v>64.29</v>
      </c>
      <c r="X905" s="34" t="s">
        <v>54</v>
      </c>
      <c r="Y905" s="33">
        <v>64.29</v>
      </c>
      <c r="AC905" s="28">
        <v>64.29</v>
      </c>
      <c r="AD905" s="34" t="s">
        <v>54</v>
      </c>
      <c r="AE905" s="33">
        <v>64.29</v>
      </c>
      <c r="AN905" s="7" t="s">
        <v>54</v>
      </c>
      <c r="AO905" s="7" t="s">
        <v>55</v>
      </c>
      <c r="AP905" s="7" t="s">
        <v>56</v>
      </c>
      <c r="AT905" s="47" t="s">
        <v>57</v>
      </c>
      <c r="AU905" s="47" t="s">
        <v>57</v>
      </c>
    </row>
    <row r="906" spans="1:47">
      <c r="A906" s="4" t="s">
        <v>48</v>
      </c>
      <c r="C906" s="21"/>
      <c r="D906" s="22" t="s">
        <v>49</v>
      </c>
      <c r="G906" s="23">
        <v>45086</v>
      </c>
      <c r="H906" s="24" t="s">
        <v>2733</v>
      </c>
      <c r="J906" s="28" t="s">
        <v>51</v>
      </c>
      <c r="L906" s="24" t="s">
        <v>2734</v>
      </c>
      <c r="M906" s="1" t="str">
        <f>"341221198605158563"</f>
        <v>341221198605158563</v>
      </c>
      <c r="N906" s="24" t="s">
        <v>2734</v>
      </c>
      <c r="O906" s="1" t="str">
        <f>"341221198605158563"</f>
        <v>341221198605158563</v>
      </c>
      <c r="P906" s="23" t="s">
        <v>2735</v>
      </c>
      <c r="Q906" s="23">
        <v>45177</v>
      </c>
      <c r="R906" s="32">
        <v>45543</v>
      </c>
      <c r="V906" s="33">
        <v>100</v>
      </c>
      <c r="W906" s="28">
        <v>64.29</v>
      </c>
      <c r="X906" s="34" t="s">
        <v>54</v>
      </c>
      <c r="Y906" s="33">
        <v>64.29</v>
      </c>
      <c r="AC906" s="28">
        <v>64.29</v>
      </c>
      <c r="AD906" s="34" t="s">
        <v>54</v>
      </c>
      <c r="AE906" s="33">
        <v>64.29</v>
      </c>
      <c r="AN906" s="7" t="s">
        <v>54</v>
      </c>
      <c r="AO906" s="7" t="s">
        <v>55</v>
      </c>
      <c r="AP906" s="7" t="s">
        <v>56</v>
      </c>
      <c r="AT906" s="47" t="s">
        <v>57</v>
      </c>
      <c r="AU906" s="47" t="s">
        <v>57</v>
      </c>
    </row>
    <row r="907" spans="1:47">
      <c r="A907" s="4" t="s">
        <v>48</v>
      </c>
      <c r="C907" s="21"/>
      <c r="D907" s="22" t="s">
        <v>49</v>
      </c>
      <c r="G907" s="23">
        <v>45088</v>
      </c>
      <c r="H907" s="24" t="s">
        <v>2736</v>
      </c>
      <c r="J907" s="28" t="s">
        <v>51</v>
      </c>
      <c r="L907" s="24" t="s">
        <v>2737</v>
      </c>
      <c r="M907" s="1" t="str">
        <f>"341204198701100613"</f>
        <v>341204198701100613</v>
      </c>
      <c r="N907" s="24" t="s">
        <v>2737</v>
      </c>
      <c r="O907" s="1" t="str">
        <f>"341204198701100613"</f>
        <v>341204198701100613</v>
      </c>
      <c r="P907" s="23" t="s">
        <v>2738</v>
      </c>
      <c r="Q907" s="23">
        <v>45089</v>
      </c>
      <c r="R907" s="32">
        <v>45455</v>
      </c>
      <c r="V907" s="33">
        <v>100</v>
      </c>
      <c r="W907" s="28">
        <v>64.29</v>
      </c>
      <c r="X907" s="34" t="s">
        <v>54</v>
      </c>
      <c r="Y907" s="33">
        <v>64.29</v>
      </c>
      <c r="AC907" s="28">
        <v>64.29</v>
      </c>
      <c r="AD907" s="34" t="s">
        <v>54</v>
      </c>
      <c r="AE907" s="33">
        <v>64.29</v>
      </c>
      <c r="AN907" s="7" t="s">
        <v>54</v>
      </c>
      <c r="AO907" s="7" t="s">
        <v>55</v>
      </c>
      <c r="AP907" s="7" t="s">
        <v>56</v>
      </c>
      <c r="AT907" s="47" t="s">
        <v>57</v>
      </c>
      <c r="AU907" s="47" t="s">
        <v>57</v>
      </c>
    </row>
    <row r="908" spans="1:47">
      <c r="A908" s="4" t="s">
        <v>48</v>
      </c>
      <c r="C908" s="21"/>
      <c r="D908" s="22" t="s">
        <v>49</v>
      </c>
      <c r="G908" s="23">
        <v>45085</v>
      </c>
      <c r="H908" s="24" t="s">
        <v>2739</v>
      </c>
      <c r="J908" s="28" t="s">
        <v>51</v>
      </c>
      <c r="L908" s="24" t="s">
        <v>2740</v>
      </c>
      <c r="M908" s="1" t="str">
        <f>"152801199104228524"</f>
        <v>152801199104228524</v>
      </c>
      <c r="N908" s="24" t="s">
        <v>2740</v>
      </c>
      <c r="O908" s="1" t="str">
        <f>"152801199104228524"</f>
        <v>152801199104228524</v>
      </c>
      <c r="P908" s="23" t="s">
        <v>2741</v>
      </c>
      <c r="Q908" s="23">
        <v>45086</v>
      </c>
      <c r="R908" s="32">
        <v>45452</v>
      </c>
      <c r="V908" s="33">
        <v>100</v>
      </c>
      <c r="W908" s="28">
        <v>64.29</v>
      </c>
      <c r="X908" s="34" t="s">
        <v>54</v>
      </c>
      <c r="Y908" s="33">
        <v>64.29</v>
      </c>
      <c r="AC908" s="28">
        <v>64.29</v>
      </c>
      <c r="AD908" s="34" t="s">
        <v>54</v>
      </c>
      <c r="AE908" s="33">
        <v>64.29</v>
      </c>
      <c r="AN908" s="7" t="s">
        <v>54</v>
      </c>
      <c r="AO908" s="7" t="s">
        <v>55</v>
      </c>
      <c r="AP908" s="7" t="s">
        <v>56</v>
      </c>
      <c r="AT908" s="47" t="s">
        <v>57</v>
      </c>
      <c r="AU908" s="47" t="s">
        <v>57</v>
      </c>
    </row>
    <row r="909" spans="1:47">
      <c r="A909" s="4" t="s">
        <v>48</v>
      </c>
      <c r="C909" s="21"/>
      <c r="D909" s="22" t="s">
        <v>49</v>
      </c>
      <c r="G909" s="23">
        <v>45102</v>
      </c>
      <c r="H909" s="24" t="s">
        <v>2742</v>
      </c>
      <c r="J909" s="28" t="s">
        <v>51</v>
      </c>
      <c r="L909" s="24" t="s">
        <v>2226</v>
      </c>
      <c r="M909" s="1" t="str">
        <f>"132404197104234224"</f>
        <v>132404197104234224</v>
      </c>
      <c r="N909" s="24" t="s">
        <v>2226</v>
      </c>
      <c r="O909" s="1" t="str">
        <f>"132404197104234224"</f>
        <v>132404197104234224</v>
      </c>
      <c r="P909" s="23" t="s">
        <v>2743</v>
      </c>
      <c r="Q909" s="23">
        <v>45103</v>
      </c>
      <c r="R909" s="32">
        <v>45469</v>
      </c>
      <c r="V909" s="33">
        <v>200</v>
      </c>
      <c r="W909" s="28">
        <v>64.29</v>
      </c>
      <c r="X909" s="34" t="s">
        <v>54</v>
      </c>
      <c r="Y909" s="33">
        <v>128.58</v>
      </c>
      <c r="AC909" s="28">
        <v>64.29</v>
      </c>
      <c r="AD909" s="34" t="s">
        <v>54</v>
      </c>
      <c r="AE909" s="33">
        <v>128.58</v>
      </c>
      <c r="AN909" s="7" t="s">
        <v>54</v>
      </c>
      <c r="AO909" s="7" t="s">
        <v>55</v>
      </c>
      <c r="AP909" s="7" t="s">
        <v>56</v>
      </c>
      <c r="AT909" s="47" t="s">
        <v>57</v>
      </c>
      <c r="AU909" s="47" t="s">
        <v>57</v>
      </c>
    </row>
    <row r="910" spans="1:47">
      <c r="A910" s="4" t="s">
        <v>48</v>
      </c>
      <c r="C910" s="21"/>
      <c r="D910" s="22" t="s">
        <v>49</v>
      </c>
      <c r="G910" s="23">
        <v>45102</v>
      </c>
      <c r="H910" s="24" t="s">
        <v>2744</v>
      </c>
      <c r="J910" s="28" t="s">
        <v>51</v>
      </c>
      <c r="L910" s="24" t="s">
        <v>2745</v>
      </c>
      <c r="M910" s="1" t="str">
        <f>"152525196010224224"</f>
        <v>152525196010224224</v>
      </c>
      <c r="N910" s="24" t="s">
        <v>2745</v>
      </c>
      <c r="O910" s="1" t="str">
        <f>"152525196010224224"</f>
        <v>152525196010224224</v>
      </c>
      <c r="P910" s="23" t="s">
        <v>2746</v>
      </c>
      <c r="Q910" s="23">
        <v>45103</v>
      </c>
      <c r="R910" s="32">
        <v>45469</v>
      </c>
      <c r="V910" s="33">
        <v>200</v>
      </c>
      <c r="W910" s="28">
        <v>64.29</v>
      </c>
      <c r="X910" s="34" t="s">
        <v>54</v>
      </c>
      <c r="Y910" s="33">
        <v>128.58</v>
      </c>
      <c r="AC910" s="28">
        <v>64.29</v>
      </c>
      <c r="AD910" s="34" t="s">
        <v>54</v>
      </c>
      <c r="AE910" s="33">
        <v>128.58</v>
      </c>
      <c r="AN910" s="7" t="s">
        <v>54</v>
      </c>
      <c r="AO910" s="7" t="s">
        <v>55</v>
      </c>
      <c r="AP910" s="7" t="s">
        <v>56</v>
      </c>
      <c r="AT910" s="47" t="s">
        <v>57</v>
      </c>
      <c r="AU910" s="47" t="s">
        <v>57</v>
      </c>
    </row>
    <row r="911" spans="1:47">
      <c r="A911" s="4" t="s">
        <v>48</v>
      </c>
      <c r="C911" s="21"/>
      <c r="D911" s="22" t="s">
        <v>49</v>
      </c>
      <c r="G911" s="23">
        <v>45096</v>
      </c>
      <c r="H911" s="24" t="s">
        <v>2747</v>
      </c>
      <c r="J911" s="28" t="s">
        <v>51</v>
      </c>
      <c r="L911" s="24" t="s">
        <v>2748</v>
      </c>
      <c r="M911" s="1" t="str">
        <f>"341203199106201960"</f>
        <v>341203199106201960</v>
      </c>
      <c r="N911" s="24" t="s">
        <v>2748</v>
      </c>
      <c r="O911" s="1" t="str">
        <f>"341203199106201960"</f>
        <v>341203199106201960</v>
      </c>
      <c r="P911" s="23" t="s">
        <v>2749</v>
      </c>
      <c r="Q911" s="23">
        <v>45158</v>
      </c>
      <c r="R911" s="32">
        <v>45524</v>
      </c>
      <c r="V911" s="33">
        <v>200</v>
      </c>
      <c r="W911" s="28">
        <v>64.29</v>
      </c>
      <c r="X911" s="34" t="s">
        <v>54</v>
      </c>
      <c r="Y911" s="33">
        <v>128.58</v>
      </c>
      <c r="AC911" s="28">
        <v>64.29</v>
      </c>
      <c r="AD911" s="34" t="s">
        <v>54</v>
      </c>
      <c r="AE911" s="33">
        <v>128.58</v>
      </c>
      <c r="AN911" s="7" t="s">
        <v>54</v>
      </c>
      <c r="AO911" s="7" t="s">
        <v>55</v>
      </c>
      <c r="AP911" s="7" t="s">
        <v>56</v>
      </c>
      <c r="AT911" s="47" t="s">
        <v>57</v>
      </c>
      <c r="AU911" s="47" t="s">
        <v>57</v>
      </c>
    </row>
    <row r="912" spans="1:47">
      <c r="A912" s="4" t="s">
        <v>48</v>
      </c>
      <c r="C912" s="21"/>
      <c r="D912" s="22" t="s">
        <v>49</v>
      </c>
      <c r="G912" s="23">
        <v>45098</v>
      </c>
      <c r="H912" s="24" t="s">
        <v>2750</v>
      </c>
      <c r="J912" s="28" t="s">
        <v>51</v>
      </c>
      <c r="L912" s="24" t="s">
        <v>2751</v>
      </c>
      <c r="M912" s="1" t="str">
        <f>"341221199004104935"</f>
        <v>341221199004104935</v>
      </c>
      <c r="N912" s="24" t="s">
        <v>2751</v>
      </c>
      <c r="O912" s="1" t="str">
        <f>"341221199004104935"</f>
        <v>341221199004104935</v>
      </c>
      <c r="P912" s="23" t="s">
        <v>2752</v>
      </c>
      <c r="Q912" s="23">
        <v>45099</v>
      </c>
      <c r="R912" s="32">
        <v>45465</v>
      </c>
      <c r="V912" s="33">
        <v>200</v>
      </c>
      <c r="W912" s="28">
        <v>64.29</v>
      </c>
      <c r="X912" s="34" t="s">
        <v>54</v>
      </c>
      <c r="Y912" s="33">
        <v>128.58</v>
      </c>
      <c r="AC912" s="28">
        <v>64.29</v>
      </c>
      <c r="AD912" s="34" t="s">
        <v>54</v>
      </c>
      <c r="AE912" s="33">
        <v>128.58</v>
      </c>
      <c r="AN912" s="7" t="s">
        <v>54</v>
      </c>
      <c r="AO912" s="7" t="s">
        <v>55</v>
      </c>
      <c r="AP912" s="7" t="s">
        <v>56</v>
      </c>
      <c r="AT912" s="47" t="s">
        <v>57</v>
      </c>
      <c r="AU912" s="47" t="s">
        <v>57</v>
      </c>
    </row>
    <row r="913" spans="1:47">
      <c r="A913" s="4" t="s">
        <v>48</v>
      </c>
      <c r="C913" s="21"/>
      <c r="D913" s="22" t="s">
        <v>49</v>
      </c>
      <c r="G913" s="23">
        <v>45083</v>
      </c>
      <c r="H913" s="24" t="s">
        <v>2753</v>
      </c>
      <c r="J913" s="28" t="s">
        <v>51</v>
      </c>
      <c r="L913" s="24" t="s">
        <v>2754</v>
      </c>
      <c r="M913" s="1" t="str">
        <f>"110108198305016061"</f>
        <v>110108198305016061</v>
      </c>
      <c r="N913" s="24" t="s">
        <v>2754</v>
      </c>
      <c r="O913" s="1" t="str">
        <f>"110108198305016061"</f>
        <v>110108198305016061</v>
      </c>
      <c r="P913" s="23" t="s">
        <v>2755</v>
      </c>
      <c r="Q913" s="23">
        <v>45084</v>
      </c>
      <c r="R913" s="32">
        <v>45450</v>
      </c>
      <c r="V913" s="33">
        <v>50</v>
      </c>
      <c r="W913" s="28">
        <v>64.29</v>
      </c>
      <c r="X913" s="34" t="s">
        <v>54</v>
      </c>
      <c r="Y913" s="33">
        <v>32.15</v>
      </c>
      <c r="AC913" s="28">
        <v>64.29</v>
      </c>
      <c r="AD913" s="34" t="s">
        <v>54</v>
      </c>
      <c r="AE913" s="33">
        <v>32.15</v>
      </c>
      <c r="AN913" s="7" t="s">
        <v>54</v>
      </c>
      <c r="AO913" s="7" t="s">
        <v>55</v>
      </c>
      <c r="AP913" s="7" t="s">
        <v>56</v>
      </c>
      <c r="AT913" s="47" t="s">
        <v>57</v>
      </c>
      <c r="AU913" s="47" t="s">
        <v>57</v>
      </c>
    </row>
    <row r="914" spans="1:47">
      <c r="A914" s="4" t="s">
        <v>48</v>
      </c>
      <c r="C914" s="21"/>
      <c r="D914" s="22" t="s">
        <v>49</v>
      </c>
      <c r="G914" s="23">
        <v>45083</v>
      </c>
      <c r="H914" s="24" t="s">
        <v>2756</v>
      </c>
      <c r="J914" s="28" t="s">
        <v>51</v>
      </c>
      <c r="L914" s="24" t="s">
        <v>2757</v>
      </c>
      <c r="M914" s="1" t="str">
        <f>"140211199210114746"</f>
        <v>140211199210114746</v>
      </c>
      <c r="N914" s="24" t="s">
        <v>2757</v>
      </c>
      <c r="O914" s="1" t="str">
        <f>"140211199210114746"</f>
        <v>140211199210114746</v>
      </c>
      <c r="P914" s="23" t="s">
        <v>2758</v>
      </c>
      <c r="Q914" s="23">
        <v>45084</v>
      </c>
      <c r="R914" s="32">
        <v>45450</v>
      </c>
      <c r="V914" s="33">
        <v>50</v>
      </c>
      <c r="W914" s="28">
        <v>64.29</v>
      </c>
      <c r="X914" s="34" t="s">
        <v>54</v>
      </c>
      <c r="Y914" s="33">
        <v>32.15</v>
      </c>
      <c r="AC914" s="28">
        <v>64.29</v>
      </c>
      <c r="AD914" s="34" t="s">
        <v>54</v>
      </c>
      <c r="AE914" s="33">
        <v>32.15</v>
      </c>
      <c r="AN914" s="7" t="s">
        <v>54</v>
      </c>
      <c r="AO914" s="7" t="s">
        <v>55</v>
      </c>
      <c r="AP914" s="7" t="s">
        <v>56</v>
      </c>
      <c r="AT914" s="47" t="s">
        <v>57</v>
      </c>
      <c r="AU914" s="47" t="s">
        <v>57</v>
      </c>
    </row>
    <row r="915" spans="1:47">
      <c r="A915" s="4" t="s">
        <v>48</v>
      </c>
      <c r="C915" s="21"/>
      <c r="D915" s="22" t="s">
        <v>49</v>
      </c>
      <c r="G915" s="23">
        <v>45083</v>
      </c>
      <c r="H915" s="24" t="s">
        <v>2759</v>
      </c>
      <c r="J915" s="28" t="s">
        <v>51</v>
      </c>
      <c r="L915" s="24" t="s">
        <v>2760</v>
      </c>
      <c r="M915" s="1" t="str">
        <f>"341203197312123423"</f>
        <v>341203197312123423</v>
      </c>
      <c r="N915" s="24" t="s">
        <v>2760</v>
      </c>
      <c r="O915" s="1" t="str">
        <f>"341203197312123423"</f>
        <v>341203197312123423</v>
      </c>
      <c r="P915" s="23" t="s">
        <v>2761</v>
      </c>
      <c r="Q915" s="23">
        <v>45084</v>
      </c>
      <c r="R915" s="32">
        <v>45450</v>
      </c>
      <c r="V915" s="33">
        <v>50</v>
      </c>
      <c r="W915" s="28">
        <v>64.29</v>
      </c>
      <c r="X915" s="34" t="s">
        <v>54</v>
      </c>
      <c r="Y915" s="33">
        <v>32.15</v>
      </c>
      <c r="AC915" s="28">
        <v>64.29</v>
      </c>
      <c r="AD915" s="34" t="s">
        <v>54</v>
      </c>
      <c r="AE915" s="33">
        <v>32.15</v>
      </c>
      <c r="AN915" s="7" t="s">
        <v>54</v>
      </c>
      <c r="AO915" s="7" t="s">
        <v>55</v>
      </c>
      <c r="AP915" s="7" t="s">
        <v>56</v>
      </c>
      <c r="AT915" s="47" t="s">
        <v>57</v>
      </c>
      <c r="AU915" s="47" t="s">
        <v>57</v>
      </c>
    </row>
    <row r="916" spans="1:47">
      <c r="A916" s="4" t="s">
        <v>48</v>
      </c>
      <c r="C916" s="21"/>
      <c r="D916" s="22" t="s">
        <v>49</v>
      </c>
      <c r="G916" s="23">
        <v>45096</v>
      </c>
      <c r="H916" s="24" t="s">
        <v>2762</v>
      </c>
      <c r="J916" s="28" t="s">
        <v>51</v>
      </c>
      <c r="L916" s="24" t="s">
        <v>2763</v>
      </c>
      <c r="M916" s="1" t="str">
        <f>"341221199006213756"</f>
        <v>341221199006213756</v>
      </c>
      <c r="N916" s="24" t="s">
        <v>2763</v>
      </c>
      <c r="O916" s="1" t="str">
        <f>"341221199006213756"</f>
        <v>341221199006213756</v>
      </c>
      <c r="P916" s="23" t="s">
        <v>2764</v>
      </c>
      <c r="Q916" s="23">
        <v>45291</v>
      </c>
      <c r="R916" s="32">
        <v>45657</v>
      </c>
      <c r="V916" s="33">
        <v>100</v>
      </c>
      <c r="W916" s="28">
        <v>64.29</v>
      </c>
      <c r="X916" s="34" t="s">
        <v>54</v>
      </c>
      <c r="Y916" s="33">
        <v>64.29</v>
      </c>
      <c r="AC916" s="28">
        <v>64.29</v>
      </c>
      <c r="AD916" s="34" t="s">
        <v>54</v>
      </c>
      <c r="AE916" s="33">
        <v>64.29</v>
      </c>
      <c r="AN916" s="7" t="s">
        <v>54</v>
      </c>
      <c r="AO916" s="7" t="s">
        <v>55</v>
      </c>
      <c r="AP916" s="7" t="s">
        <v>56</v>
      </c>
      <c r="AT916" s="47" t="s">
        <v>57</v>
      </c>
      <c r="AU916" s="47" t="s">
        <v>57</v>
      </c>
    </row>
    <row r="917" spans="1:47">
      <c r="A917" s="4" t="s">
        <v>48</v>
      </c>
      <c r="C917" s="21"/>
      <c r="D917" s="22" t="s">
        <v>49</v>
      </c>
      <c r="G917" s="23">
        <v>45094</v>
      </c>
      <c r="H917" s="24" t="s">
        <v>2765</v>
      </c>
      <c r="J917" s="28" t="s">
        <v>51</v>
      </c>
      <c r="L917" s="24" t="s">
        <v>2766</v>
      </c>
      <c r="M917" s="1" t="str">
        <f>"341203199108060313"</f>
        <v>341203199108060313</v>
      </c>
      <c r="N917" s="24" t="s">
        <v>2766</v>
      </c>
      <c r="O917" s="1" t="str">
        <f>"341203199108060313"</f>
        <v>341203199108060313</v>
      </c>
      <c r="P917" s="23" t="s">
        <v>2767</v>
      </c>
      <c r="Q917" s="23">
        <v>45095</v>
      </c>
      <c r="R917" s="32">
        <v>45461</v>
      </c>
      <c r="V917" s="33">
        <v>100</v>
      </c>
      <c r="W917" s="28">
        <v>64.29</v>
      </c>
      <c r="X917" s="34" t="s">
        <v>54</v>
      </c>
      <c r="Y917" s="33">
        <v>64.29</v>
      </c>
      <c r="AC917" s="28">
        <v>64.29</v>
      </c>
      <c r="AD917" s="34" t="s">
        <v>54</v>
      </c>
      <c r="AE917" s="33">
        <v>64.29</v>
      </c>
      <c r="AN917" s="7" t="s">
        <v>54</v>
      </c>
      <c r="AO917" s="7" t="s">
        <v>55</v>
      </c>
      <c r="AP917" s="7" t="s">
        <v>56</v>
      </c>
      <c r="AT917" s="47" t="s">
        <v>57</v>
      </c>
      <c r="AU917" s="47" t="s">
        <v>57</v>
      </c>
    </row>
    <row r="918" spans="1:47">
      <c r="A918" s="4" t="s">
        <v>48</v>
      </c>
      <c r="C918" s="21"/>
      <c r="D918" s="22" t="s">
        <v>49</v>
      </c>
      <c r="G918" s="23">
        <v>45085</v>
      </c>
      <c r="H918" s="24" t="s">
        <v>2768</v>
      </c>
      <c r="J918" s="28" t="s">
        <v>51</v>
      </c>
      <c r="L918" s="24" t="s">
        <v>2769</v>
      </c>
      <c r="M918" s="1" t="str">
        <f>"120222196701051825"</f>
        <v>120222196701051825</v>
      </c>
      <c r="N918" s="24" t="s">
        <v>2769</v>
      </c>
      <c r="O918" s="1" t="str">
        <f>"120222196701051825"</f>
        <v>120222196701051825</v>
      </c>
      <c r="P918" s="23" t="s">
        <v>2770</v>
      </c>
      <c r="Q918" s="23">
        <v>45231</v>
      </c>
      <c r="R918" s="32">
        <v>45597</v>
      </c>
      <c r="V918" s="33">
        <v>100</v>
      </c>
      <c r="W918" s="28">
        <v>64.29</v>
      </c>
      <c r="X918" s="34" t="s">
        <v>54</v>
      </c>
      <c r="Y918" s="33">
        <v>64.29</v>
      </c>
      <c r="AC918" s="28">
        <v>64.29</v>
      </c>
      <c r="AD918" s="34" t="s">
        <v>54</v>
      </c>
      <c r="AE918" s="33">
        <v>64.29</v>
      </c>
      <c r="AN918" s="7" t="s">
        <v>54</v>
      </c>
      <c r="AO918" s="7" t="s">
        <v>55</v>
      </c>
      <c r="AP918" s="7" t="s">
        <v>56</v>
      </c>
      <c r="AT918" s="47" t="s">
        <v>57</v>
      </c>
      <c r="AU918" s="47" t="s">
        <v>57</v>
      </c>
    </row>
    <row r="919" spans="1:47">
      <c r="A919" s="4" t="s">
        <v>48</v>
      </c>
      <c r="C919" s="21"/>
      <c r="D919" s="22" t="s">
        <v>49</v>
      </c>
      <c r="G919" s="23">
        <v>45083</v>
      </c>
      <c r="H919" s="24" t="s">
        <v>2771</v>
      </c>
      <c r="J919" s="28" t="s">
        <v>51</v>
      </c>
      <c r="L919" s="24" t="s">
        <v>2772</v>
      </c>
      <c r="M919" s="1" t="str">
        <f>"342122196512010060"</f>
        <v>342122196512010060</v>
      </c>
      <c r="N919" s="24" t="s">
        <v>2772</v>
      </c>
      <c r="O919" s="1" t="str">
        <f>"342122196512010060"</f>
        <v>342122196512010060</v>
      </c>
      <c r="P919" s="23" t="s">
        <v>2773</v>
      </c>
      <c r="Q919" s="23">
        <v>45170</v>
      </c>
      <c r="R919" s="32">
        <v>45536</v>
      </c>
      <c r="V919" s="33">
        <v>100</v>
      </c>
      <c r="W919" s="28">
        <v>64.29</v>
      </c>
      <c r="X919" s="34" t="s">
        <v>54</v>
      </c>
      <c r="Y919" s="33">
        <v>64.29</v>
      </c>
      <c r="AC919" s="28">
        <v>64.29</v>
      </c>
      <c r="AD919" s="34" t="s">
        <v>54</v>
      </c>
      <c r="AE919" s="33">
        <v>64.29</v>
      </c>
      <c r="AN919" s="7" t="s">
        <v>54</v>
      </c>
      <c r="AO919" s="7" t="s">
        <v>55</v>
      </c>
      <c r="AP919" s="7" t="s">
        <v>56</v>
      </c>
      <c r="AT919" s="47" t="s">
        <v>57</v>
      </c>
      <c r="AU919" s="47" t="s">
        <v>57</v>
      </c>
    </row>
    <row r="920" spans="1:47">
      <c r="A920" s="4" t="s">
        <v>48</v>
      </c>
      <c r="C920" s="21"/>
      <c r="D920" s="22" t="s">
        <v>49</v>
      </c>
      <c r="G920" s="23">
        <v>45083</v>
      </c>
      <c r="H920" s="24" t="s">
        <v>2774</v>
      </c>
      <c r="J920" s="28" t="s">
        <v>51</v>
      </c>
      <c r="L920" s="24" t="s">
        <v>2775</v>
      </c>
      <c r="M920" s="1" t="str">
        <f>"132821197304262527"</f>
        <v>132821197304262527</v>
      </c>
      <c r="N920" s="24" t="s">
        <v>2775</v>
      </c>
      <c r="O920" s="1" t="str">
        <f>"132821197304262527"</f>
        <v>132821197304262527</v>
      </c>
      <c r="P920" s="23" t="s">
        <v>2776</v>
      </c>
      <c r="Q920" s="23">
        <v>45123</v>
      </c>
      <c r="R920" s="32">
        <v>45489</v>
      </c>
      <c r="V920" s="33">
        <v>100</v>
      </c>
      <c r="W920" s="28">
        <v>64.29</v>
      </c>
      <c r="X920" s="34" t="s">
        <v>54</v>
      </c>
      <c r="Y920" s="33">
        <v>64.29</v>
      </c>
      <c r="AC920" s="28">
        <v>64.29</v>
      </c>
      <c r="AD920" s="34" t="s">
        <v>54</v>
      </c>
      <c r="AE920" s="33">
        <v>64.29</v>
      </c>
      <c r="AN920" s="7" t="s">
        <v>54</v>
      </c>
      <c r="AO920" s="7" t="s">
        <v>55</v>
      </c>
      <c r="AP920" s="7" t="s">
        <v>56</v>
      </c>
      <c r="AT920" s="47" t="s">
        <v>57</v>
      </c>
      <c r="AU920" s="47" t="s">
        <v>57</v>
      </c>
    </row>
    <row r="921" spans="1:47">
      <c r="A921" s="4" t="s">
        <v>48</v>
      </c>
      <c r="C921" s="21"/>
      <c r="D921" s="22" t="s">
        <v>49</v>
      </c>
      <c r="G921" s="23">
        <v>45098</v>
      </c>
      <c r="H921" s="24" t="s">
        <v>2777</v>
      </c>
      <c r="J921" s="28" t="s">
        <v>51</v>
      </c>
      <c r="L921" s="24" t="s">
        <v>2778</v>
      </c>
      <c r="M921" s="1" t="str">
        <f>"342101197308092022"</f>
        <v>342101197308092022</v>
      </c>
      <c r="N921" s="24" t="s">
        <v>2778</v>
      </c>
      <c r="O921" s="1" t="str">
        <f>"342101197308092022"</f>
        <v>342101197308092022</v>
      </c>
      <c r="P921" s="23" t="s">
        <v>2779</v>
      </c>
      <c r="Q921" s="23">
        <v>45108</v>
      </c>
      <c r="R921" s="32">
        <v>45474</v>
      </c>
      <c r="V921" s="33">
        <v>200</v>
      </c>
      <c r="W921" s="28">
        <v>64.29</v>
      </c>
      <c r="X921" s="34" t="s">
        <v>54</v>
      </c>
      <c r="Y921" s="33">
        <v>128.58</v>
      </c>
      <c r="AC921" s="28">
        <v>64.29</v>
      </c>
      <c r="AD921" s="34" t="s">
        <v>54</v>
      </c>
      <c r="AE921" s="33">
        <v>128.58</v>
      </c>
      <c r="AN921" s="7" t="s">
        <v>54</v>
      </c>
      <c r="AO921" s="7" t="s">
        <v>55</v>
      </c>
      <c r="AP921" s="7" t="s">
        <v>56</v>
      </c>
      <c r="AT921" s="47" t="s">
        <v>57</v>
      </c>
      <c r="AU921" s="47" t="s">
        <v>57</v>
      </c>
    </row>
    <row r="922" spans="1:47">
      <c r="A922" s="4" t="s">
        <v>48</v>
      </c>
      <c r="C922" s="21"/>
      <c r="D922" s="22" t="s">
        <v>49</v>
      </c>
      <c r="G922" s="23">
        <v>45098</v>
      </c>
      <c r="H922" s="24" t="s">
        <v>2780</v>
      </c>
      <c r="J922" s="28" t="s">
        <v>51</v>
      </c>
      <c r="L922" s="24" t="s">
        <v>2781</v>
      </c>
      <c r="M922" s="1" t="str">
        <f>"341202199612250523"</f>
        <v>341202199612250523</v>
      </c>
      <c r="N922" s="24" t="s">
        <v>2781</v>
      </c>
      <c r="O922" s="1" t="str">
        <f>"341202199612250523"</f>
        <v>341202199612250523</v>
      </c>
      <c r="P922" s="23" t="s">
        <v>2782</v>
      </c>
      <c r="Q922" s="23">
        <v>45146</v>
      </c>
      <c r="R922" s="32">
        <v>45512</v>
      </c>
      <c r="V922" s="33">
        <v>200</v>
      </c>
      <c r="W922" s="28">
        <v>64.29</v>
      </c>
      <c r="X922" s="34" t="s">
        <v>54</v>
      </c>
      <c r="Y922" s="33">
        <v>128.58</v>
      </c>
      <c r="AC922" s="28">
        <v>64.29</v>
      </c>
      <c r="AD922" s="34" t="s">
        <v>54</v>
      </c>
      <c r="AE922" s="33">
        <v>128.58</v>
      </c>
      <c r="AN922" s="7" t="s">
        <v>54</v>
      </c>
      <c r="AO922" s="7" t="s">
        <v>55</v>
      </c>
      <c r="AP922" s="7" t="s">
        <v>56</v>
      </c>
      <c r="AT922" s="47" t="s">
        <v>57</v>
      </c>
      <c r="AU922" s="47" t="s">
        <v>57</v>
      </c>
    </row>
    <row r="923" spans="1:47">
      <c r="A923" s="4" t="s">
        <v>48</v>
      </c>
      <c r="C923" s="21"/>
      <c r="D923" s="22" t="s">
        <v>49</v>
      </c>
      <c r="G923" s="23">
        <v>45096</v>
      </c>
      <c r="H923" s="24" t="s">
        <v>2783</v>
      </c>
      <c r="J923" s="28" t="s">
        <v>51</v>
      </c>
      <c r="L923" s="24" t="s">
        <v>2784</v>
      </c>
      <c r="M923" s="1" t="str">
        <f>"372925199208242985"</f>
        <v>372925199208242985</v>
      </c>
      <c r="N923" s="24" t="s">
        <v>2784</v>
      </c>
      <c r="O923" s="1" t="str">
        <f>"372925199208242985"</f>
        <v>372925199208242985</v>
      </c>
      <c r="P923" s="23" t="s">
        <v>2785</v>
      </c>
      <c r="Q923" s="23">
        <v>45097</v>
      </c>
      <c r="R923" s="32">
        <v>45463</v>
      </c>
      <c r="V923" s="33">
        <v>200</v>
      </c>
      <c r="W923" s="28">
        <v>64.29</v>
      </c>
      <c r="X923" s="34" t="s">
        <v>54</v>
      </c>
      <c r="Y923" s="33">
        <v>128.58</v>
      </c>
      <c r="AC923" s="28">
        <v>64.29</v>
      </c>
      <c r="AD923" s="34" t="s">
        <v>54</v>
      </c>
      <c r="AE923" s="33">
        <v>128.58</v>
      </c>
      <c r="AN923" s="7" t="s">
        <v>54</v>
      </c>
      <c r="AO923" s="7" t="s">
        <v>55</v>
      </c>
      <c r="AP923" s="7" t="s">
        <v>56</v>
      </c>
      <c r="AT923" s="47" t="s">
        <v>57</v>
      </c>
      <c r="AU923" s="47" t="s">
        <v>57</v>
      </c>
    </row>
    <row r="924" spans="1:47">
      <c r="A924" s="4" t="s">
        <v>48</v>
      </c>
      <c r="C924" s="21"/>
      <c r="D924" s="22" t="s">
        <v>49</v>
      </c>
      <c r="G924" s="23">
        <v>45097</v>
      </c>
      <c r="H924" s="24" t="s">
        <v>2786</v>
      </c>
      <c r="J924" s="28" t="s">
        <v>51</v>
      </c>
      <c r="L924" s="24" t="s">
        <v>2787</v>
      </c>
      <c r="M924" s="1" t="str">
        <f>"132821196310200272"</f>
        <v>132821196310200272</v>
      </c>
      <c r="N924" s="24" t="s">
        <v>2787</v>
      </c>
      <c r="O924" s="1" t="str">
        <f>"132821196310200272"</f>
        <v>132821196310200272</v>
      </c>
      <c r="P924" s="23" t="s">
        <v>2788</v>
      </c>
      <c r="Q924" s="23">
        <v>45128</v>
      </c>
      <c r="R924" s="32">
        <v>45494</v>
      </c>
      <c r="V924" s="33">
        <v>200</v>
      </c>
      <c r="W924" s="28">
        <v>64.29</v>
      </c>
      <c r="X924" s="34" t="s">
        <v>54</v>
      </c>
      <c r="Y924" s="33">
        <v>128.58</v>
      </c>
      <c r="AC924" s="28">
        <v>64.29</v>
      </c>
      <c r="AD924" s="34" t="s">
        <v>54</v>
      </c>
      <c r="AE924" s="33">
        <v>128.58</v>
      </c>
      <c r="AN924" s="7" t="s">
        <v>54</v>
      </c>
      <c r="AO924" s="7" t="s">
        <v>55</v>
      </c>
      <c r="AP924" s="7" t="s">
        <v>56</v>
      </c>
      <c r="AT924" s="47" t="s">
        <v>57</v>
      </c>
      <c r="AU924" s="47" t="s">
        <v>57</v>
      </c>
    </row>
    <row r="925" spans="1:47">
      <c r="A925" s="4" t="s">
        <v>48</v>
      </c>
      <c r="C925" s="21"/>
      <c r="D925" s="22" t="s">
        <v>49</v>
      </c>
      <c r="G925" s="23">
        <v>45085</v>
      </c>
      <c r="H925" s="24" t="s">
        <v>2789</v>
      </c>
      <c r="J925" s="28" t="s">
        <v>51</v>
      </c>
      <c r="L925" s="24" t="s">
        <v>2790</v>
      </c>
      <c r="M925" s="1" t="str">
        <f>"131082198012090092"</f>
        <v>131082198012090092</v>
      </c>
      <c r="N925" s="24" t="s">
        <v>2790</v>
      </c>
      <c r="O925" s="1" t="str">
        <f>"131082198012090092"</f>
        <v>131082198012090092</v>
      </c>
      <c r="P925" s="23" t="s">
        <v>2791</v>
      </c>
      <c r="Q925" s="23">
        <v>45086</v>
      </c>
      <c r="R925" s="32">
        <v>45452</v>
      </c>
      <c r="V925" s="33">
        <v>50</v>
      </c>
      <c r="W925" s="28">
        <v>64.29</v>
      </c>
      <c r="X925" s="34" t="s">
        <v>54</v>
      </c>
      <c r="Y925" s="33">
        <v>32.15</v>
      </c>
      <c r="AC925" s="28">
        <v>64.29</v>
      </c>
      <c r="AD925" s="34" t="s">
        <v>54</v>
      </c>
      <c r="AE925" s="33">
        <v>32.15</v>
      </c>
      <c r="AN925" s="7" t="s">
        <v>54</v>
      </c>
      <c r="AO925" s="7" t="s">
        <v>55</v>
      </c>
      <c r="AP925" s="7" t="s">
        <v>56</v>
      </c>
      <c r="AT925" s="47" t="s">
        <v>57</v>
      </c>
      <c r="AU925" s="47" t="s">
        <v>57</v>
      </c>
    </row>
    <row r="926" spans="1:47">
      <c r="A926" s="4" t="s">
        <v>48</v>
      </c>
      <c r="C926" s="21"/>
      <c r="D926" s="22" t="s">
        <v>49</v>
      </c>
      <c r="G926" s="23">
        <v>45084</v>
      </c>
      <c r="H926" s="24" t="s">
        <v>2792</v>
      </c>
      <c r="J926" s="28" t="s">
        <v>51</v>
      </c>
      <c r="L926" s="24" t="s">
        <v>2793</v>
      </c>
      <c r="M926" s="1" t="str">
        <f>"41302619861130904X"</f>
        <v>41302619861130904X</v>
      </c>
      <c r="N926" s="24" t="s">
        <v>2793</v>
      </c>
      <c r="O926" s="1" t="str">
        <f>"41302619861130904X"</f>
        <v>41302619861130904X</v>
      </c>
      <c r="P926" s="23" t="s">
        <v>2794</v>
      </c>
      <c r="Q926" s="23">
        <v>45085</v>
      </c>
      <c r="R926" s="32">
        <v>45451</v>
      </c>
      <c r="V926" s="33">
        <v>50</v>
      </c>
      <c r="W926" s="28">
        <v>64.29</v>
      </c>
      <c r="X926" s="34" t="s">
        <v>54</v>
      </c>
      <c r="Y926" s="33">
        <v>32.15</v>
      </c>
      <c r="AC926" s="28">
        <v>64.29</v>
      </c>
      <c r="AD926" s="34" t="s">
        <v>54</v>
      </c>
      <c r="AE926" s="33">
        <v>32.15</v>
      </c>
      <c r="AN926" s="7" t="s">
        <v>54</v>
      </c>
      <c r="AO926" s="7" t="s">
        <v>55</v>
      </c>
      <c r="AP926" s="7" t="s">
        <v>56</v>
      </c>
      <c r="AT926" s="47" t="s">
        <v>57</v>
      </c>
      <c r="AU926" s="47" t="s">
        <v>57</v>
      </c>
    </row>
    <row r="927" spans="1:47">
      <c r="A927" s="4" t="s">
        <v>48</v>
      </c>
      <c r="C927" s="21"/>
      <c r="D927" s="22" t="s">
        <v>49</v>
      </c>
      <c r="G927" s="23">
        <v>45083</v>
      </c>
      <c r="H927" s="24" t="s">
        <v>2795</v>
      </c>
      <c r="J927" s="28" t="s">
        <v>51</v>
      </c>
      <c r="L927" s="24" t="s">
        <v>2796</v>
      </c>
      <c r="M927" s="1" t="str">
        <f>"130634197210050063"</f>
        <v>130634197210050063</v>
      </c>
      <c r="N927" s="24" t="s">
        <v>2796</v>
      </c>
      <c r="O927" s="1" t="str">
        <f>"130634197210050063"</f>
        <v>130634197210050063</v>
      </c>
      <c r="P927" s="23" t="s">
        <v>2797</v>
      </c>
      <c r="Q927" s="23">
        <v>45084</v>
      </c>
      <c r="R927" s="32">
        <v>45450</v>
      </c>
      <c r="V927" s="33">
        <v>50</v>
      </c>
      <c r="W927" s="28">
        <v>64.29</v>
      </c>
      <c r="X927" s="34" t="s">
        <v>54</v>
      </c>
      <c r="Y927" s="33">
        <v>32.15</v>
      </c>
      <c r="AC927" s="28">
        <v>64.29</v>
      </c>
      <c r="AD927" s="34" t="s">
        <v>54</v>
      </c>
      <c r="AE927" s="33">
        <v>32.15</v>
      </c>
      <c r="AN927" s="7" t="s">
        <v>54</v>
      </c>
      <c r="AO927" s="7" t="s">
        <v>55</v>
      </c>
      <c r="AP927" s="7" t="s">
        <v>56</v>
      </c>
      <c r="AT927" s="47" t="s">
        <v>57</v>
      </c>
      <c r="AU927" s="47" t="s">
        <v>57</v>
      </c>
    </row>
    <row r="928" spans="1:47">
      <c r="A928" s="4" t="s">
        <v>48</v>
      </c>
      <c r="C928" s="21"/>
      <c r="D928" s="22" t="s">
        <v>49</v>
      </c>
      <c r="G928" s="23">
        <v>45084</v>
      </c>
      <c r="H928" s="24" t="s">
        <v>2798</v>
      </c>
      <c r="J928" s="28" t="s">
        <v>51</v>
      </c>
      <c r="L928" s="24" t="s">
        <v>2799</v>
      </c>
      <c r="M928" s="1" t="str">
        <f>"131082195701080419"</f>
        <v>131082195701080419</v>
      </c>
      <c r="N928" s="24" t="s">
        <v>2799</v>
      </c>
      <c r="O928" s="1" t="str">
        <f>"131082195701080419"</f>
        <v>131082195701080419</v>
      </c>
      <c r="P928" s="23" t="s">
        <v>2800</v>
      </c>
      <c r="Q928" s="23">
        <v>45085</v>
      </c>
      <c r="R928" s="32">
        <v>45451</v>
      </c>
      <c r="V928" s="33">
        <v>50</v>
      </c>
      <c r="W928" s="28">
        <v>64.29</v>
      </c>
      <c r="X928" s="34" t="s">
        <v>54</v>
      </c>
      <c r="Y928" s="33">
        <v>32.15</v>
      </c>
      <c r="AC928" s="28">
        <v>64.29</v>
      </c>
      <c r="AD928" s="34" t="s">
        <v>54</v>
      </c>
      <c r="AE928" s="33">
        <v>32.15</v>
      </c>
      <c r="AN928" s="7" t="s">
        <v>54</v>
      </c>
      <c r="AO928" s="7" t="s">
        <v>55</v>
      </c>
      <c r="AP928" s="7" t="s">
        <v>56</v>
      </c>
      <c r="AT928" s="47" t="s">
        <v>57</v>
      </c>
      <c r="AU928" s="47" t="s">
        <v>57</v>
      </c>
    </row>
    <row r="929" spans="1:47">
      <c r="A929" s="4" t="s">
        <v>48</v>
      </c>
      <c r="C929" s="21"/>
      <c r="D929" s="22" t="s">
        <v>49</v>
      </c>
      <c r="G929" s="23">
        <v>45093</v>
      </c>
      <c r="H929" s="24" t="s">
        <v>2801</v>
      </c>
      <c r="J929" s="28" t="s">
        <v>51</v>
      </c>
      <c r="L929" s="24" t="s">
        <v>2802</v>
      </c>
      <c r="M929" s="1" t="str">
        <f>"131082197303255139"</f>
        <v>131082197303255139</v>
      </c>
      <c r="N929" s="24" t="s">
        <v>2802</v>
      </c>
      <c r="O929" s="1" t="str">
        <f>"131082197303255139"</f>
        <v>131082197303255139</v>
      </c>
      <c r="P929" s="23" t="s">
        <v>2803</v>
      </c>
      <c r="Q929" s="23">
        <v>45094</v>
      </c>
      <c r="R929" s="32">
        <v>45460</v>
      </c>
      <c r="V929" s="33">
        <v>100</v>
      </c>
      <c r="W929" s="28">
        <v>64.29</v>
      </c>
      <c r="X929" s="34" t="s">
        <v>54</v>
      </c>
      <c r="Y929" s="33">
        <v>64.29</v>
      </c>
      <c r="AC929" s="28">
        <v>64.29</v>
      </c>
      <c r="AD929" s="34" t="s">
        <v>54</v>
      </c>
      <c r="AE929" s="33">
        <v>64.29</v>
      </c>
      <c r="AN929" s="7" t="s">
        <v>54</v>
      </c>
      <c r="AO929" s="7" t="s">
        <v>55</v>
      </c>
      <c r="AP929" s="7" t="s">
        <v>56</v>
      </c>
      <c r="AT929" s="47" t="s">
        <v>57</v>
      </c>
      <c r="AU929" s="47" t="s">
        <v>57</v>
      </c>
    </row>
    <row r="930" spans="1:47">
      <c r="A930" s="4" t="s">
        <v>48</v>
      </c>
      <c r="C930" s="21"/>
      <c r="D930" s="22" t="s">
        <v>49</v>
      </c>
      <c r="G930" s="23">
        <v>45096</v>
      </c>
      <c r="H930" s="24" t="s">
        <v>2804</v>
      </c>
      <c r="J930" s="28" t="s">
        <v>51</v>
      </c>
      <c r="L930" s="24" t="s">
        <v>2805</v>
      </c>
      <c r="M930" s="1" t="str">
        <f>"130929198908012798"</f>
        <v>130929198908012798</v>
      </c>
      <c r="N930" s="24" t="s">
        <v>2805</v>
      </c>
      <c r="O930" s="1" t="str">
        <f>"130929198908012798"</f>
        <v>130929198908012798</v>
      </c>
      <c r="P930" s="23" t="s">
        <v>2806</v>
      </c>
      <c r="Q930" s="23">
        <v>45219</v>
      </c>
      <c r="R930" s="32">
        <v>45585</v>
      </c>
      <c r="V930" s="33">
        <v>100</v>
      </c>
      <c r="W930" s="28">
        <v>64.29</v>
      </c>
      <c r="X930" s="34" t="s">
        <v>54</v>
      </c>
      <c r="Y930" s="33">
        <v>64.29</v>
      </c>
      <c r="AC930" s="28">
        <v>64.29</v>
      </c>
      <c r="AD930" s="34" t="s">
        <v>54</v>
      </c>
      <c r="AE930" s="33">
        <v>64.29</v>
      </c>
      <c r="AN930" s="7" t="s">
        <v>54</v>
      </c>
      <c r="AO930" s="7" t="s">
        <v>55</v>
      </c>
      <c r="AP930" s="7" t="s">
        <v>56</v>
      </c>
      <c r="AT930" s="47" t="s">
        <v>57</v>
      </c>
      <c r="AU930" s="47" t="s">
        <v>57</v>
      </c>
    </row>
    <row r="931" spans="1:47">
      <c r="A931" s="4" t="s">
        <v>48</v>
      </c>
      <c r="C931" s="21"/>
      <c r="D931" s="22" t="s">
        <v>49</v>
      </c>
      <c r="G931" s="23">
        <v>45093</v>
      </c>
      <c r="H931" s="24" t="s">
        <v>2807</v>
      </c>
      <c r="J931" s="28" t="s">
        <v>51</v>
      </c>
      <c r="L931" s="24" t="s">
        <v>2808</v>
      </c>
      <c r="M931" s="1" t="str">
        <f>"341204198905121643"</f>
        <v>341204198905121643</v>
      </c>
      <c r="N931" s="24" t="s">
        <v>2808</v>
      </c>
      <c r="O931" s="1" t="str">
        <f>"341204198905121643"</f>
        <v>341204198905121643</v>
      </c>
      <c r="P931" s="23" t="s">
        <v>2809</v>
      </c>
      <c r="Q931" s="23">
        <v>45094</v>
      </c>
      <c r="R931" s="32">
        <v>45460</v>
      </c>
      <c r="V931" s="33">
        <v>100</v>
      </c>
      <c r="W931" s="28">
        <v>64.29</v>
      </c>
      <c r="X931" s="34" t="s">
        <v>54</v>
      </c>
      <c r="Y931" s="33">
        <v>64.29</v>
      </c>
      <c r="AC931" s="28">
        <v>64.29</v>
      </c>
      <c r="AD931" s="34" t="s">
        <v>54</v>
      </c>
      <c r="AE931" s="33">
        <v>64.29</v>
      </c>
      <c r="AN931" s="7" t="s">
        <v>54</v>
      </c>
      <c r="AO931" s="7" t="s">
        <v>55</v>
      </c>
      <c r="AP931" s="7" t="s">
        <v>56</v>
      </c>
      <c r="AT931" s="47" t="s">
        <v>57</v>
      </c>
      <c r="AU931" s="47" t="s">
        <v>57</v>
      </c>
    </row>
    <row r="932" spans="1:47">
      <c r="A932" s="4" t="s">
        <v>48</v>
      </c>
      <c r="C932" s="21"/>
      <c r="D932" s="22" t="s">
        <v>49</v>
      </c>
      <c r="G932" s="23">
        <v>45093</v>
      </c>
      <c r="H932" s="24" t="s">
        <v>2810</v>
      </c>
      <c r="J932" s="28" t="s">
        <v>51</v>
      </c>
      <c r="L932" s="24" t="s">
        <v>2811</v>
      </c>
      <c r="M932" s="1" t="str">
        <f>"341221198509209009"</f>
        <v>341221198509209009</v>
      </c>
      <c r="N932" s="24" t="s">
        <v>2811</v>
      </c>
      <c r="O932" s="1" t="str">
        <f>"341221198509209009"</f>
        <v>341221198509209009</v>
      </c>
      <c r="P932" s="23" t="s">
        <v>2812</v>
      </c>
      <c r="Q932" s="23">
        <v>45094</v>
      </c>
      <c r="R932" s="32">
        <v>45460</v>
      </c>
      <c r="V932" s="33">
        <v>100</v>
      </c>
      <c r="W932" s="28">
        <v>64.29</v>
      </c>
      <c r="X932" s="34" t="s">
        <v>54</v>
      </c>
      <c r="Y932" s="33">
        <v>64.29</v>
      </c>
      <c r="AC932" s="28">
        <v>64.29</v>
      </c>
      <c r="AD932" s="34" t="s">
        <v>54</v>
      </c>
      <c r="AE932" s="33">
        <v>64.29</v>
      </c>
      <c r="AN932" s="7" t="s">
        <v>54</v>
      </c>
      <c r="AO932" s="7" t="s">
        <v>55</v>
      </c>
      <c r="AP932" s="7" t="s">
        <v>56</v>
      </c>
      <c r="AT932" s="47" t="s">
        <v>57</v>
      </c>
      <c r="AU932" s="47" t="s">
        <v>57</v>
      </c>
    </row>
    <row r="933" spans="1:47">
      <c r="A933" s="4" t="s">
        <v>48</v>
      </c>
      <c r="C933" s="21"/>
      <c r="D933" s="22" t="s">
        <v>49</v>
      </c>
      <c r="G933" s="23">
        <v>45093</v>
      </c>
      <c r="H933" s="24" t="s">
        <v>2813</v>
      </c>
      <c r="J933" s="28" t="s">
        <v>51</v>
      </c>
      <c r="L933" s="24" t="s">
        <v>2814</v>
      </c>
      <c r="M933" s="1" t="str">
        <f>"131082198502132945"</f>
        <v>131082198502132945</v>
      </c>
      <c r="N933" s="24" t="s">
        <v>2814</v>
      </c>
      <c r="O933" s="1" t="str">
        <f>"131082198502132945"</f>
        <v>131082198502132945</v>
      </c>
      <c r="P933" s="23" t="s">
        <v>2815</v>
      </c>
      <c r="Q933" s="23">
        <v>45094</v>
      </c>
      <c r="R933" s="32">
        <v>45460</v>
      </c>
      <c r="V933" s="33">
        <v>100</v>
      </c>
      <c r="W933" s="28">
        <v>64.29</v>
      </c>
      <c r="X933" s="34" t="s">
        <v>54</v>
      </c>
      <c r="Y933" s="33">
        <v>64.29</v>
      </c>
      <c r="AC933" s="28">
        <v>64.29</v>
      </c>
      <c r="AD933" s="34" t="s">
        <v>54</v>
      </c>
      <c r="AE933" s="33">
        <v>64.29</v>
      </c>
      <c r="AN933" s="7" t="s">
        <v>54</v>
      </c>
      <c r="AO933" s="7" t="s">
        <v>55</v>
      </c>
      <c r="AP933" s="7" t="s">
        <v>56</v>
      </c>
      <c r="AT933" s="47" t="s">
        <v>57</v>
      </c>
      <c r="AU933" s="47" t="s">
        <v>57</v>
      </c>
    </row>
    <row r="934" spans="1:47">
      <c r="A934" s="4" t="s">
        <v>48</v>
      </c>
      <c r="C934" s="21"/>
      <c r="D934" s="22" t="s">
        <v>49</v>
      </c>
      <c r="G934" s="23">
        <v>45083</v>
      </c>
      <c r="H934" s="24" t="s">
        <v>2816</v>
      </c>
      <c r="J934" s="28" t="s">
        <v>51</v>
      </c>
      <c r="L934" s="24" t="s">
        <v>2817</v>
      </c>
      <c r="M934" s="1" t="str">
        <f>"321084197106113420"</f>
        <v>321084197106113420</v>
      </c>
      <c r="N934" s="24" t="s">
        <v>2817</v>
      </c>
      <c r="O934" s="1" t="str">
        <f>"321084197106113420"</f>
        <v>321084197106113420</v>
      </c>
      <c r="P934" s="23" t="s">
        <v>2818</v>
      </c>
      <c r="Q934" s="23">
        <v>45084</v>
      </c>
      <c r="R934" s="32">
        <v>45450</v>
      </c>
      <c r="V934" s="33">
        <v>100</v>
      </c>
      <c r="W934" s="28">
        <v>64.29</v>
      </c>
      <c r="X934" s="34" t="s">
        <v>54</v>
      </c>
      <c r="Y934" s="33">
        <v>64.29</v>
      </c>
      <c r="AC934" s="28">
        <v>64.29</v>
      </c>
      <c r="AD934" s="34" t="s">
        <v>54</v>
      </c>
      <c r="AE934" s="33">
        <v>64.29</v>
      </c>
      <c r="AN934" s="7" t="s">
        <v>54</v>
      </c>
      <c r="AO934" s="7" t="s">
        <v>55</v>
      </c>
      <c r="AP934" s="7" t="s">
        <v>56</v>
      </c>
      <c r="AT934" s="47" t="s">
        <v>57</v>
      </c>
      <c r="AU934" s="47" t="s">
        <v>57</v>
      </c>
    </row>
    <row r="935" spans="1:47">
      <c r="A935" s="4" t="s">
        <v>48</v>
      </c>
      <c r="C935" s="21"/>
      <c r="D935" s="22" t="s">
        <v>49</v>
      </c>
      <c r="G935" s="23">
        <v>45083</v>
      </c>
      <c r="H935" s="24" t="s">
        <v>2819</v>
      </c>
      <c r="J935" s="28" t="s">
        <v>51</v>
      </c>
      <c r="L935" s="24" t="s">
        <v>2820</v>
      </c>
      <c r="M935" s="1" t="str">
        <f>"131082198710152924"</f>
        <v>131082198710152924</v>
      </c>
      <c r="N935" s="24" t="s">
        <v>2820</v>
      </c>
      <c r="O935" s="1" t="str">
        <f>"131082198710152924"</f>
        <v>131082198710152924</v>
      </c>
      <c r="P935" s="23" t="s">
        <v>2821</v>
      </c>
      <c r="Q935" s="23">
        <v>45237</v>
      </c>
      <c r="R935" s="32">
        <v>45603</v>
      </c>
      <c r="V935" s="33">
        <v>100</v>
      </c>
      <c r="W935" s="28">
        <v>64.29</v>
      </c>
      <c r="X935" s="34" t="s">
        <v>54</v>
      </c>
      <c r="Y935" s="33">
        <v>64.29</v>
      </c>
      <c r="AC935" s="28">
        <v>64.29</v>
      </c>
      <c r="AD935" s="34" t="s">
        <v>54</v>
      </c>
      <c r="AE935" s="33">
        <v>64.29</v>
      </c>
      <c r="AN935" s="7" t="s">
        <v>54</v>
      </c>
      <c r="AO935" s="7" t="s">
        <v>55</v>
      </c>
      <c r="AP935" s="7" t="s">
        <v>56</v>
      </c>
      <c r="AT935" s="47" t="s">
        <v>57</v>
      </c>
      <c r="AU935" s="47" t="s">
        <v>57</v>
      </c>
    </row>
    <row r="936" spans="1:47">
      <c r="A936" s="4" t="s">
        <v>48</v>
      </c>
      <c r="C936" s="21"/>
      <c r="D936" s="22" t="s">
        <v>49</v>
      </c>
      <c r="G936" s="23">
        <v>45084</v>
      </c>
      <c r="H936" s="24" t="s">
        <v>2822</v>
      </c>
      <c r="J936" s="28" t="s">
        <v>51</v>
      </c>
      <c r="L936" s="24" t="s">
        <v>2823</v>
      </c>
      <c r="M936" s="1" t="str">
        <f>"512222197106280032"</f>
        <v>512222197106280032</v>
      </c>
      <c r="N936" s="24" t="s">
        <v>2823</v>
      </c>
      <c r="O936" s="1" t="str">
        <f>"512222197106280032"</f>
        <v>512222197106280032</v>
      </c>
      <c r="P936" s="23" t="s">
        <v>2824</v>
      </c>
      <c r="Q936" s="23">
        <v>45085</v>
      </c>
      <c r="R936" s="32">
        <v>45451</v>
      </c>
      <c r="V936" s="33">
        <v>100</v>
      </c>
      <c r="W936" s="28">
        <v>64.29</v>
      </c>
      <c r="X936" s="34" t="s">
        <v>54</v>
      </c>
      <c r="Y936" s="33">
        <v>64.29</v>
      </c>
      <c r="AC936" s="28">
        <v>64.29</v>
      </c>
      <c r="AD936" s="34" t="s">
        <v>54</v>
      </c>
      <c r="AE936" s="33">
        <v>64.29</v>
      </c>
      <c r="AN936" s="7" t="s">
        <v>54</v>
      </c>
      <c r="AO936" s="7" t="s">
        <v>55</v>
      </c>
      <c r="AP936" s="7" t="s">
        <v>56</v>
      </c>
      <c r="AT936" s="47" t="s">
        <v>57</v>
      </c>
      <c r="AU936" s="47" t="s">
        <v>57</v>
      </c>
    </row>
    <row r="937" spans="1:47">
      <c r="A937" s="4" t="s">
        <v>48</v>
      </c>
      <c r="C937" s="21"/>
      <c r="D937" s="22" t="s">
        <v>49</v>
      </c>
      <c r="G937" s="23">
        <v>45097</v>
      </c>
      <c r="H937" s="24" t="s">
        <v>2825</v>
      </c>
      <c r="J937" s="28" t="s">
        <v>51</v>
      </c>
      <c r="L937" s="24" t="s">
        <v>2826</v>
      </c>
      <c r="M937" s="1" t="str">
        <f>"370481198511240031"</f>
        <v>370481198511240031</v>
      </c>
      <c r="N937" s="24" t="s">
        <v>2826</v>
      </c>
      <c r="O937" s="1" t="str">
        <f>"370481198511240031"</f>
        <v>370481198511240031</v>
      </c>
      <c r="P937" s="23" t="s">
        <v>2827</v>
      </c>
      <c r="Q937" s="23">
        <v>45308</v>
      </c>
      <c r="R937" s="32">
        <v>45674</v>
      </c>
      <c r="V937" s="33">
        <v>200</v>
      </c>
      <c r="W937" s="28">
        <v>64.29</v>
      </c>
      <c r="X937" s="34" t="s">
        <v>54</v>
      </c>
      <c r="Y937" s="33">
        <v>128.58</v>
      </c>
      <c r="AC937" s="28">
        <v>64.29</v>
      </c>
      <c r="AD937" s="34" t="s">
        <v>54</v>
      </c>
      <c r="AE937" s="33">
        <v>128.58</v>
      </c>
      <c r="AN937" s="7" t="s">
        <v>54</v>
      </c>
      <c r="AO937" s="7" t="s">
        <v>55</v>
      </c>
      <c r="AP937" s="7" t="s">
        <v>56</v>
      </c>
      <c r="AT937" s="47" t="s">
        <v>57</v>
      </c>
      <c r="AU937" s="47" t="s">
        <v>57</v>
      </c>
    </row>
    <row r="938" spans="1:47">
      <c r="A938" s="4" t="s">
        <v>48</v>
      </c>
      <c r="C938" s="21"/>
      <c r="D938" s="22" t="s">
        <v>49</v>
      </c>
      <c r="G938" s="23">
        <v>45083</v>
      </c>
      <c r="H938" s="24" t="s">
        <v>2828</v>
      </c>
      <c r="J938" s="28" t="s">
        <v>51</v>
      </c>
      <c r="L938" s="24" t="s">
        <v>2829</v>
      </c>
      <c r="M938" s="1" t="str">
        <f>"131082197405011020"</f>
        <v>131082197405011020</v>
      </c>
      <c r="N938" s="24" t="s">
        <v>2829</v>
      </c>
      <c r="O938" s="1" t="str">
        <f>"131082197405011020"</f>
        <v>131082197405011020</v>
      </c>
      <c r="P938" s="23" t="s">
        <v>2830</v>
      </c>
      <c r="Q938" s="23">
        <v>45084</v>
      </c>
      <c r="R938" s="32">
        <v>45450</v>
      </c>
      <c r="V938" s="33">
        <v>50</v>
      </c>
      <c r="W938" s="28">
        <v>64.29</v>
      </c>
      <c r="X938" s="34" t="s">
        <v>54</v>
      </c>
      <c r="Y938" s="33">
        <v>32.15</v>
      </c>
      <c r="AC938" s="28">
        <v>64.29</v>
      </c>
      <c r="AD938" s="34" t="s">
        <v>54</v>
      </c>
      <c r="AE938" s="33">
        <v>32.15</v>
      </c>
      <c r="AN938" s="7" t="s">
        <v>54</v>
      </c>
      <c r="AO938" s="7" t="s">
        <v>55</v>
      </c>
      <c r="AP938" s="7" t="s">
        <v>56</v>
      </c>
      <c r="AT938" s="47" t="s">
        <v>57</v>
      </c>
      <c r="AU938" s="47" t="s">
        <v>57</v>
      </c>
    </row>
    <row r="939" spans="1:47">
      <c r="A939" s="4" t="s">
        <v>48</v>
      </c>
      <c r="C939" s="21"/>
      <c r="D939" s="22" t="s">
        <v>49</v>
      </c>
      <c r="G939" s="23">
        <v>45079</v>
      </c>
      <c r="H939" s="24" t="s">
        <v>2831</v>
      </c>
      <c r="J939" s="28" t="s">
        <v>51</v>
      </c>
      <c r="L939" s="24" t="s">
        <v>2832</v>
      </c>
      <c r="M939" s="1" t="str">
        <f>"341225199011102327"</f>
        <v>341225199011102327</v>
      </c>
      <c r="N939" s="24" t="s">
        <v>2832</v>
      </c>
      <c r="O939" s="1" t="str">
        <f>"341225199011102327"</f>
        <v>341225199011102327</v>
      </c>
      <c r="P939" s="23" t="s">
        <v>2833</v>
      </c>
      <c r="Q939" s="23">
        <v>45087</v>
      </c>
      <c r="R939" s="32">
        <v>45453</v>
      </c>
      <c r="V939" s="33">
        <v>50</v>
      </c>
      <c r="W939" s="28">
        <v>64.29</v>
      </c>
      <c r="X939" s="34" t="s">
        <v>54</v>
      </c>
      <c r="Y939" s="33">
        <v>32.15</v>
      </c>
      <c r="AC939" s="28">
        <v>64.29</v>
      </c>
      <c r="AD939" s="34" t="s">
        <v>54</v>
      </c>
      <c r="AE939" s="33">
        <v>32.15</v>
      </c>
      <c r="AN939" s="7" t="s">
        <v>54</v>
      </c>
      <c r="AO939" s="7" t="s">
        <v>55</v>
      </c>
      <c r="AP939" s="7" t="s">
        <v>56</v>
      </c>
      <c r="AT939" s="47" t="s">
        <v>57</v>
      </c>
      <c r="AU939" s="47" t="s">
        <v>57</v>
      </c>
    </row>
    <row r="940" spans="1:47">
      <c r="A940" s="4" t="s">
        <v>48</v>
      </c>
      <c r="C940" s="21"/>
      <c r="D940" s="22" t="s">
        <v>49</v>
      </c>
      <c r="G940" s="23">
        <v>45082</v>
      </c>
      <c r="H940" s="24" t="s">
        <v>2834</v>
      </c>
      <c r="J940" s="28" t="s">
        <v>51</v>
      </c>
      <c r="L940" s="24" t="s">
        <v>2835</v>
      </c>
      <c r="M940" s="1" t="str">
        <f>"342101198303035824"</f>
        <v>342101198303035824</v>
      </c>
      <c r="N940" s="24" t="s">
        <v>2835</v>
      </c>
      <c r="O940" s="1" t="str">
        <f>"342101198303035824"</f>
        <v>342101198303035824</v>
      </c>
      <c r="P940" s="23" t="s">
        <v>2836</v>
      </c>
      <c r="Q940" s="23">
        <v>45083</v>
      </c>
      <c r="R940" s="32">
        <v>45449</v>
      </c>
      <c r="V940" s="33">
        <v>50</v>
      </c>
      <c r="W940" s="28">
        <v>64.29</v>
      </c>
      <c r="X940" s="34" t="s">
        <v>54</v>
      </c>
      <c r="Y940" s="33">
        <v>32.15</v>
      </c>
      <c r="AC940" s="28">
        <v>64.29</v>
      </c>
      <c r="AD940" s="34" t="s">
        <v>54</v>
      </c>
      <c r="AE940" s="33">
        <v>32.15</v>
      </c>
      <c r="AN940" s="7" t="s">
        <v>54</v>
      </c>
      <c r="AO940" s="7" t="s">
        <v>55</v>
      </c>
      <c r="AP940" s="7" t="s">
        <v>56</v>
      </c>
      <c r="AT940" s="47" t="s">
        <v>57</v>
      </c>
      <c r="AU940" s="47" t="s">
        <v>57</v>
      </c>
    </row>
    <row r="941" spans="1:47">
      <c r="A941" s="4" t="s">
        <v>48</v>
      </c>
      <c r="C941" s="21"/>
      <c r="D941" s="22" t="s">
        <v>49</v>
      </c>
      <c r="G941" s="23">
        <v>45093</v>
      </c>
      <c r="H941" s="24" t="s">
        <v>2837</v>
      </c>
      <c r="J941" s="28" t="s">
        <v>51</v>
      </c>
      <c r="L941" s="24" t="s">
        <v>2838</v>
      </c>
      <c r="M941" s="1" t="str">
        <f>"342130197009114828"</f>
        <v>342130197009114828</v>
      </c>
      <c r="N941" s="24" t="s">
        <v>2838</v>
      </c>
      <c r="O941" s="1" t="str">
        <f>"342130197009114828"</f>
        <v>342130197009114828</v>
      </c>
      <c r="P941" s="23" t="s">
        <v>2839</v>
      </c>
      <c r="Q941" s="23">
        <v>45156</v>
      </c>
      <c r="R941" s="32">
        <v>45522</v>
      </c>
      <c r="V941" s="33">
        <v>100</v>
      </c>
      <c r="W941" s="28">
        <v>64.29</v>
      </c>
      <c r="X941" s="34" t="s">
        <v>54</v>
      </c>
      <c r="Y941" s="33">
        <v>64.29</v>
      </c>
      <c r="AC941" s="28">
        <v>64.29</v>
      </c>
      <c r="AD941" s="34" t="s">
        <v>54</v>
      </c>
      <c r="AE941" s="33">
        <v>64.29</v>
      </c>
      <c r="AN941" s="7" t="s">
        <v>54</v>
      </c>
      <c r="AO941" s="7" t="s">
        <v>55</v>
      </c>
      <c r="AP941" s="7" t="s">
        <v>56</v>
      </c>
      <c r="AT941" s="47" t="s">
        <v>57</v>
      </c>
      <c r="AU941" s="47" t="s">
        <v>57</v>
      </c>
    </row>
    <row r="942" spans="1:47">
      <c r="A942" s="4" t="s">
        <v>48</v>
      </c>
      <c r="C942" s="21"/>
      <c r="D942" s="22" t="s">
        <v>49</v>
      </c>
      <c r="G942" s="23">
        <v>45094</v>
      </c>
      <c r="H942" s="24" t="s">
        <v>2840</v>
      </c>
      <c r="J942" s="28" t="s">
        <v>51</v>
      </c>
      <c r="L942" s="24" t="s">
        <v>2841</v>
      </c>
      <c r="M942" s="1" t="str">
        <f>"341202199204023575"</f>
        <v>341202199204023575</v>
      </c>
      <c r="N942" s="24" t="s">
        <v>2841</v>
      </c>
      <c r="O942" s="1" t="str">
        <f>"341202199204023575"</f>
        <v>341202199204023575</v>
      </c>
      <c r="P942" s="23" t="s">
        <v>2842</v>
      </c>
      <c r="Q942" s="23">
        <v>45095</v>
      </c>
      <c r="R942" s="32">
        <v>45461</v>
      </c>
      <c r="V942" s="33">
        <v>100</v>
      </c>
      <c r="W942" s="28">
        <v>64.29</v>
      </c>
      <c r="X942" s="34" t="s">
        <v>54</v>
      </c>
      <c r="Y942" s="33">
        <v>64.29</v>
      </c>
      <c r="AC942" s="28">
        <v>64.29</v>
      </c>
      <c r="AD942" s="34" t="s">
        <v>54</v>
      </c>
      <c r="AE942" s="33">
        <v>64.29</v>
      </c>
      <c r="AN942" s="7" t="s">
        <v>54</v>
      </c>
      <c r="AO942" s="7" t="s">
        <v>55</v>
      </c>
      <c r="AP942" s="7" t="s">
        <v>56</v>
      </c>
      <c r="AT942" s="47" t="s">
        <v>57</v>
      </c>
      <c r="AU942" s="47" t="s">
        <v>57</v>
      </c>
    </row>
    <row r="943" spans="1:47">
      <c r="A943" s="4" t="s">
        <v>48</v>
      </c>
      <c r="C943" s="21"/>
      <c r="D943" s="22" t="s">
        <v>49</v>
      </c>
      <c r="G943" s="23">
        <v>45093</v>
      </c>
      <c r="H943" s="24" t="s">
        <v>2843</v>
      </c>
      <c r="J943" s="28" t="s">
        <v>51</v>
      </c>
      <c r="L943" s="24" t="s">
        <v>2844</v>
      </c>
      <c r="M943" s="1" t="str">
        <f>"132821196407250292"</f>
        <v>132821196407250292</v>
      </c>
      <c r="N943" s="24" t="s">
        <v>2844</v>
      </c>
      <c r="O943" s="1" t="str">
        <f>"132821196407250292"</f>
        <v>132821196407250292</v>
      </c>
      <c r="P943" s="23" t="s">
        <v>2845</v>
      </c>
      <c r="Q943" s="23">
        <v>45094</v>
      </c>
      <c r="R943" s="32">
        <v>45460</v>
      </c>
      <c r="V943" s="33">
        <v>100</v>
      </c>
      <c r="W943" s="28">
        <v>64.29</v>
      </c>
      <c r="X943" s="34" t="s">
        <v>54</v>
      </c>
      <c r="Y943" s="33">
        <v>64.29</v>
      </c>
      <c r="AC943" s="28">
        <v>64.29</v>
      </c>
      <c r="AD943" s="34" t="s">
        <v>54</v>
      </c>
      <c r="AE943" s="33">
        <v>64.29</v>
      </c>
      <c r="AN943" s="7" t="s">
        <v>54</v>
      </c>
      <c r="AO943" s="7" t="s">
        <v>55</v>
      </c>
      <c r="AP943" s="7" t="s">
        <v>56</v>
      </c>
      <c r="AT943" s="47" t="s">
        <v>57</v>
      </c>
      <c r="AU943" s="47" t="s">
        <v>57</v>
      </c>
    </row>
    <row r="944" spans="1:47">
      <c r="A944" s="4" t="s">
        <v>48</v>
      </c>
      <c r="C944" s="21"/>
      <c r="D944" s="22" t="s">
        <v>49</v>
      </c>
      <c r="G944" s="23">
        <v>45083</v>
      </c>
      <c r="H944" s="24" t="s">
        <v>2846</v>
      </c>
      <c r="J944" s="28" t="s">
        <v>51</v>
      </c>
      <c r="L944" s="24" t="s">
        <v>2847</v>
      </c>
      <c r="M944" s="1" t="str">
        <f>"342121195403017430"</f>
        <v>342121195403017430</v>
      </c>
      <c r="N944" s="24" t="s">
        <v>2847</v>
      </c>
      <c r="O944" s="1" t="str">
        <f>"342121195403017430"</f>
        <v>342121195403017430</v>
      </c>
      <c r="P944" s="23" t="s">
        <v>2848</v>
      </c>
      <c r="Q944" s="23">
        <v>45206</v>
      </c>
      <c r="R944" s="32">
        <v>45572</v>
      </c>
      <c r="V944" s="33">
        <v>100</v>
      </c>
      <c r="W944" s="28">
        <v>64.29</v>
      </c>
      <c r="X944" s="34" t="s">
        <v>54</v>
      </c>
      <c r="Y944" s="33">
        <v>64.29</v>
      </c>
      <c r="AC944" s="28">
        <v>64.29</v>
      </c>
      <c r="AD944" s="34" t="s">
        <v>54</v>
      </c>
      <c r="AE944" s="33">
        <v>64.29</v>
      </c>
      <c r="AN944" s="7" t="s">
        <v>54</v>
      </c>
      <c r="AO944" s="7" t="s">
        <v>55</v>
      </c>
      <c r="AP944" s="7" t="s">
        <v>56</v>
      </c>
      <c r="AT944" s="47" t="s">
        <v>57</v>
      </c>
      <c r="AU944" s="47" t="s">
        <v>57</v>
      </c>
    </row>
    <row r="945" spans="1:47">
      <c r="A945" s="4" t="s">
        <v>48</v>
      </c>
      <c r="C945" s="21"/>
      <c r="D945" s="22" t="s">
        <v>49</v>
      </c>
      <c r="G945" s="23">
        <v>45084</v>
      </c>
      <c r="H945" s="24" t="s">
        <v>2849</v>
      </c>
      <c r="J945" s="28" t="s">
        <v>51</v>
      </c>
      <c r="L945" s="24" t="s">
        <v>2850</v>
      </c>
      <c r="M945" s="1" t="str">
        <f>"341226198606012322"</f>
        <v>341226198606012322</v>
      </c>
      <c r="N945" s="24" t="s">
        <v>2850</v>
      </c>
      <c r="O945" s="1" t="str">
        <f>"341226198606012322"</f>
        <v>341226198606012322</v>
      </c>
      <c r="P945" s="23" t="s">
        <v>2851</v>
      </c>
      <c r="Q945" s="23">
        <v>45170</v>
      </c>
      <c r="R945" s="32">
        <v>45536</v>
      </c>
      <c r="V945" s="33">
        <v>100</v>
      </c>
      <c r="W945" s="28">
        <v>64.29</v>
      </c>
      <c r="X945" s="34" t="s">
        <v>54</v>
      </c>
      <c r="Y945" s="33">
        <v>64.29</v>
      </c>
      <c r="AC945" s="28">
        <v>64.29</v>
      </c>
      <c r="AD945" s="34" t="s">
        <v>54</v>
      </c>
      <c r="AE945" s="33">
        <v>64.29</v>
      </c>
      <c r="AN945" s="7" t="s">
        <v>54</v>
      </c>
      <c r="AO945" s="7" t="s">
        <v>55</v>
      </c>
      <c r="AP945" s="7" t="s">
        <v>56</v>
      </c>
      <c r="AT945" s="47" t="s">
        <v>57</v>
      </c>
      <c r="AU945" s="47" t="s">
        <v>57</v>
      </c>
    </row>
    <row r="946" spans="1:47">
      <c r="A946" s="4" t="s">
        <v>48</v>
      </c>
      <c r="C946" s="21"/>
      <c r="D946" s="22" t="s">
        <v>49</v>
      </c>
      <c r="G946" s="23">
        <v>45083</v>
      </c>
      <c r="H946" s="24" t="s">
        <v>2852</v>
      </c>
      <c r="J946" s="28" t="s">
        <v>51</v>
      </c>
      <c r="L946" s="24" t="s">
        <v>2853</v>
      </c>
      <c r="M946" s="1" t="str">
        <f>"341202198701272922"</f>
        <v>341202198701272922</v>
      </c>
      <c r="N946" s="24" t="s">
        <v>2853</v>
      </c>
      <c r="O946" s="1" t="str">
        <f>"341202198701272922"</f>
        <v>341202198701272922</v>
      </c>
      <c r="P946" s="23" t="s">
        <v>2854</v>
      </c>
      <c r="Q946" s="23">
        <v>45097</v>
      </c>
      <c r="R946" s="32">
        <v>45463</v>
      </c>
      <c r="V946" s="33">
        <v>100</v>
      </c>
      <c r="W946" s="28">
        <v>64.29</v>
      </c>
      <c r="X946" s="34" t="s">
        <v>54</v>
      </c>
      <c r="Y946" s="33">
        <v>64.29</v>
      </c>
      <c r="AC946" s="28">
        <v>64.29</v>
      </c>
      <c r="AD946" s="34" t="s">
        <v>54</v>
      </c>
      <c r="AE946" s="33">
        <v>64.29</v>
      </c>
      <c r="AN946" s="7" t="s">
        <v>54</v>
      </c>
      <c r="AO946" s="7" t="s">
        <v>55</v>
      </c>
      <c r="AP946" s="7" t="s">
        <v>56</v>
      </c>
      <c r="AT946" s="47" t="s">
        <v>57</v>
      </c>
      <c r="AU946" s="47" t="s">
        <v>57</v>
      </c>
    </row>
    <row r="947" spans="1:47">
      <c r="A947" s="4" t="s">
        <v>48</v>
      </c>
      <c r="C947" s="21"/>
      <c r="D947" s="22" t="s">
        <v>49</v>
      </c>
      <c r="G947" s="23">
        <v>45083</v>
      </c>
      <c r="H947" s="24" t="s">
        <v>2855</v>
      </c>
      <c r="J947" s="28" t="s">
        <v>51</v>
      </c>
      <c r="L947" s="24" t="s">
        <v>2856</v>
      </c>
      <c r="M947" s="1" t="str">
        <f>"341225198208150133"</f>
        <v>341225198208150133</v>
      </c>
      <c r="N947" s="24" t="s">
        <v>2856</v>
      </c>
      <c r="O947" s="1" t="str">
        <f>"341225198208150133"</f>
        <v>341225198208150133</v>
      </c>
      <c r="P947" s="23" t="s">
        <v>2857</v>
      </c>
      <c r="Q947" s="23">
        <v>45267</v>
      </c>
      <c r="R947" s="32">
        <v>45633</v>
      </c>
      <c r="V947" s="33">
        <v>100</v>
      </c>
      <c r="W947" s="28">
        <v>64.29</v>
      </c>
      <c r="X947" s="34" t="s">
        <v>54</v>
      </c>
      <c r="Y947" s="33">
        <v>64.29</v>
      </c>
      <c r="AC947" s="28">
        <v>64.29</v>
      </c>
      <c r="AD947" s="34" t="s">
        <v>54</v>
      </c>
      <c r="AE947" s="33">
        <v>64.29</v>
      </c>
      <c r="AN947" s="7" t="s">
        <v>54</v>
      </c>
      <c r="AO947" s="7" t="s">
        <v>55</v>
      </c>
      <c r="AP947" s="7" t="s">
        <v>56</v>
      </c>
      <c r="AT947" s="47" t="s">
        <v>57</v>
      </c>
      <c r="AU947" s="47" t="s">
        <v>57</v>
      </c>
    </row>
    <row r="948" spans="1:47">
      <c r="A948" s="4" t="s">
        <v>48</v>
      </c>
      <c r="C948" s="21"/>
      <c r="D948" s="22" t="s">
        <v>49</v>
      </c>
      <c r="G948" s="23">
        <v>45083</v>
      </c>
      <c r="H948" s="24" t="s">
        <v>2858</v>
      </c>
      <c r="J948" s="28" t="s">
        <v>51</v>
      </c>
      <c r="L948" s="24" t="s">
        <v>2859</v>
      </c>
      <c r="M948" s="1" t="str">
        <f>"341225198805073877"</f>
        <v>341225198805073877</v>
      </c>
      <c r="N948" s="24" t="s">
        <v>2859</v>
      </c>
      <c r="O948" s="1" t="str">
        <f>"341225198805073877"</f>
        <v>341225198805073877</v>
      </c>
      <c r="P948" s="23" t="s">
        <v>2860</v>
      </c>
      <c r="Q948" s="23">
        <v>45084</v>
      </c>
      <c r="R948" s="32">
        <v>45450</v>
      </c>
      <c r="V948" s="33">
        <v>100</v>
      </c>
      <c r="W948" s="28">
        <v>64.29</v>
      </c>
      <c r="X948" s="34" t="s">
        <v>54</v>
      </c>
      <c r="Y948" s="33">
        <v>64.29</v>
      </c>
      <c r="AC948" s="28">
        <v>64.29</v>
      </c>
      <c r="AD948" s="34" t="s">
        <v>54</v>
      </c>
      <c r="AE948" s="33">
        <v>64.29</v>
      </c>
      <c r="AN948" s="7" t="s">
        <v>54</v>
      </c>
      <c r="AO948" s="7" t="s">
        <v>55</v>
      </c>
      <c r="AP948" s="7" t="s">
        <v>56</v>
      </c>
      <c r="AT948" s="47" t="s">
        <v>57</v>
      </c>
      <c r="AU948" s="47" t="s">
        <v>57</v>
      </c>
    </row>
    <row r="949" spans="1:47">
      <c r="A949" s="4" t="s">
        <v>48</v>
      </c>
      <c r="C949" s="21"/>
      <c r="D949" s="22" t="s">
        <v>49</v>
      </c>
      <c r="G949" s="23">
        <v>45084</v>
      </c>
      <c r="H949" s="24" t="s">
        <v>2861</v>
      </c>
      <c r="J949" s="28" t="s">
        <v>51</v>
      </c>
      <c r="L949" s="24" t="s">
        <v>2862</v>
      </c>
      <c r="M949" s="1" t="str">
        <f>"341225198803170032"</f>
        <v>341225198803170032</v>
      </c>
      <c r="N949" s="24" t="s">
        <v>2862</v>
      </c>
      <c r="O949" s="1" t="str">
        <f>"341225198803170032"</f>
        <v>341225198803170032</v>
      </c>
      <c r="P949" s="23" t="s">
        <v>2863</v>
      </c>
      <c r="Q949" s="23">
        <v>45085</v>
      </c>
      <c r="R949" s="32">
        <v>45451</v>
      </c>
      <c r="V949" s="33">
        <v>100</v>
      </c>
      <c r="W949" s="28">
        <v>64.29</v>
      </c>
      <c r="X949" s="34" t="s">
        <v>54</v>
      </c>
      <c r="Y949" s="33">
        <v>64.29</v>
      </c>
      <c r="AC949" s="28">
        <v>64.29</v>
      </c>
      <c r="AD949" s="34" t="s">
        <v>54</v>
      </c>
      <c r="AE949" s="33">
        <v>64.29</v>
      </c>
      <c r="AN949" s="7" t="s">
        <v>54</v>
      </c>
      <c r="AO949" s="7" t="s">
        <v>55</v>
      </c>
      <c r="AP949" s="7" t="s">
        <v>56</v>
      </c>
      <c r="AT949" s="47" t="s">
        <v>57</v>
      </c>
      <c r="AU949" s="47" t="s">
        <v>57</v>
      </c>
    </row>
    <row r="950" spans="1:47">
      <c r="A950" s="4" t="s">
        <v>48</v>
      </c>
      <c r="C950" s="21"/>
      <c r="D950" s="22" t="s">
        <v>49</v>
      </c>
      <c r="G950" s="23">
        <v>45082</v>
      </c>
      <c r="H950" s="24" t="s">
        <v>2864</v>
      </c>
      <c r="J950" s="28" t="s">
        <v>51</v>
      </c>
      <c r="L950" s="24" t="s">
        <v>2865</v>
      </c>
      <c r="M950" s="1" t="str">
        <f>"341221198906144894"</f>
        <v>341221198906144894</v>
      </c>
      <c r="N950" s="24" t="s">
        <v>2865</v>
      </c>
      <c r="O950" s="1" t="str">
        <f>"341221198906144894"</f>
        <v>341221198906144894</v>
      </c>
      <c r="P950" s="23" t="s">
        <v>2866</v>
      </c>
      <c r="Q950" s="23">
        <v>45293</v>
      </c>
      <c r="R950" s="32">
        <v>45659</v>
      </c>
      <c r="V950" s="33">
        <v>100</v>
      </c>
      <c r="W950" s="28">
        <v>64.29</v>
      </c>
      <c r="X950" s="34" t="s">
        <v>54</v>
      </c>
      <c r="Y950" s="33">
        <v>64.29</v>
      </c>
      <c r="AC950" s="28">
        <v>64.29</v>
      </c>
      <c r="AD950" s="34" t="s">
        <v>54</v>
      </c>
      <c r="AE950" s="33">
        <v>64.29</v>
      </c>
      <c r="AN950" s="7" t="s">
        <v>54</v>
      </c>
      <c r="AO950" s="7" t="s">
        <v>55</v>
      </c>
      <c r="AP950" s="7" t="s">
        <v>56</v>
      </c>
      <c r="AT950" s="47" t="s">
        <v>57</v>
      </c>
      <c r="AU950" s="47" t="s">
        <v>57</v>
      </c>
    </row>
    <row r="951" spans="1:47">
      <c r="A951" s="4" t="s">
        <v>48</v>
      </c>
      <c r="C951" s="21"/>
      <c r="D951" s="22" t="s">
        <v>49</v>
      </c>
      <c r="G951" s="23">
        <v>45083</v>
      </c>
      <c r="H951" s="24" t="s">
        <v>2867</v>
      </c>
      <c r="J951" s="28" t="s">
        <v>51</v>
      </c>
      <c r="L951" s="24" t="s">
        <v>2868</v>
      </c>
      <c r="M951" s="1" t="str">
        <f>"130981198907076023"</f>
        <v>130981198907076023</v>
      </c>
      <c r="N951" s="24" t="s">
        <v>2868</v>
      </c>
      <c r="O951" s="1" t="str">
        <f>"130981198907076023"</f>
        <v>130981198907076023</v>
      </c>
      <c r="P951" s="23" t="s">
        <v>2869</v>
      </c>
      <c r="Q951" s="23">
        <v>45144</v>
      </c>
      <c r="R951" s="32">
        <v>45510</v>
      </c>
      <c r="V951" s="33">
        <v>100</v>
      </c>
      <c r="W951" s="28">
        <v>64.29</v>
      </c>
      <c r="X951" s="34" t="s">
        <v>54</v>
      </c>
      <c r="Y951" s="33">
        <v>64.29</v>
      </c>
      <c r="AC951" s="28">
        <v>64.29</v>
      </c>
      <c r="AD951" s="34" t="s">
        <v>54</v>
      </c>
      <c r="AE951" s="33">
        <v>64.29</v>
      </c>
      <c r="AN951" s="7" t="s">
        <v>54</v>
      </c>
      <c r="AO951" s="7" t="s">
        <v>55</v>
      </c>
      <c r="AP951" s="7" t="s">
        <v>56</v>
      </c>
      <c r="AT951" s="47" t="s">
        <v>57</v>
      </c>
      <c r="AU951" s="47" t="s">
        <v>57</v>
      </c>
    </row>
    <row r="952" spans="1:47">
      <c r="A952" s="4" t="s">
        <v>48</v>
      </c>
      <c r="C952" s="21"/>
      <c r="D952" s="22" t="s">
        <v>49</v>
      </c>
      <c r="G952" s="23">
        <v>45084</v>
      </c>
      <c r="H952" s="24" t="s">
        <v>2870</v>
      </c>
      <c r="J952" s="28" t="s">
        <v>51</v>
      </c>
      <c r="L952" s="24" t="s">
        <v>2871</v>
      </c>
      <c r="M952" s="1" t="str">
        <f>"341221198607083534"</f>
        <v>341221198607083534</v>
      </c>
      <c r="N952" s="24" t="s">
        <v>2871</v>
      </c>
      <c r="O952" s="1" t="str">
        <f>"341221198607083534"</f>
        <v>341221198607083534</v>
      </c>
      <c r="P952" s="23" t="s">
        <v>2872</v>
      </c>
      <c r="Q952" s="23">
        <v>45260</v>
      </c>
      <c r="R952" s="32">
        <v>45626</v>
      </c>
      <c r="V952" s="33">
        <v>100</v>
      </c>
      <c r="W952" s="28">
        <v>64.29</v>
      </c>
      <c r="X952" s="34" t="s">
        <v>54</v>
      </c>
      <c r="Y952" s="33">
        <v>64.29</v>
      </c>
      <c r="AC952" s="28">
        <v>64.29</v>
      </c>
      <c r="AD952" s="34" t="s">
        <v>54</v>
      </c>
      <c r="AE952" s="33">
        <v>64.29</v>
      </c>
      <c r="AN952" s="7" t="s">
        <v>54</v>
      </c>
      <c r="AO952" s="7" t="s">
        <v>55</v>
      </c>
      <c r="AP952" s="7" t="s">
        <v>56</v>
      </c>
      <c r="AT952" s="47" t="s">
        <v>57</v>
      </c>
      <c r="AU952" s="47" t="s">
        <v>57</v>
      </c>
    </row>
    <row r="953" spans="1:47">
      <c r="A953" s="4" t="s">
        <v>48</v>
      </c>
      <c r="C953" s="21"/>
      <c r="D953" s="22" t="s">
        <v>49</v>
      </c>
      <c r="G953" s="23">
        <v>45093</v>
      </c>
      <c r="H953" s="24" t="s">
        <v>2873</v>
      </c>
      <c r="J953" s="28" t="s">
        <v>51</v>
      </c>
      <c r="L953" s="24" t="s">
        <v>2874</v>
      </c>
      <c r="M953" s="1" t="str">
        <f>"342122196111104410"</f>
        <v>342122196111104410</v>
      </c>
      <c r="N953" s="24" t="s">
        <v>2874</v>
      </c>
      <c r="O953" s="1" t="str">
        <f>"342122196111104410"</f>
        <v>342122196111104410</v>
      </c>
      <c r="P953" s="23" t="s">
        <v>2875</v>
      </c>
      <c r="Q953" s="23">
        <v>45094</v>
      </c>
      <c r="R953" s="32">
        <v>45460</v>
      </c>
      <c r="V953" s="33">
        <v>200</v>
      </c>
      <c r="W953" s="28">
        <v>64.29</v>
      </c>
      <c r="X953" s="34" t="s">
        <v>54</v>
      </c>
      <c r="Y953" s="33">
        <v>128.58</v>
      </c>
      <c r="AC953" s="28">
        <v>64.29</v>
      </c>
      <c r="AD953" s="34" t="s">
        <v>54</v>
      </c>
      <c r="AE953" s="33">
        <v>128.58</v>
      </c>
      <c r="AN953" s="7" t="s">
        <v>54</v>
      </c>
      <c r="AO953" s="7" t="s">
        <v>55</v>
      </c>
      <c r="AP953" s="7" t="s">
        <v>56</v>
      </c>
      <c r="AT953" s="47" t="s">
        <v>57</v>
      </c>
      <c r="AU953" s="47" t="s">
        <v>57</v>
      </c>
    </row>
    <row r="954" spans="1:47">
      <c r="A954" s="4" t="s">
        <v>48</v>
      </c>
      <c r="C954" s="21"/>
      <c r="D954" s="22" t="s">
        <v>49</v>
      </c>
      <c r="G954" s="23">
        <v>45093</v>
      </c>
      <c r="H954" s="24" t="s">
        <v>2876</v>
      </c>
      <c r="J954" s="28" t="s">
        <v>51</v>
      </c>
      <c r="L954" s="24" t="s">
        <v>2877</v>
      </c>
      <c r="M954" s="1" t="str">
        <f>"342122196410219218"</f>
        <v>342122196410219218</v>
      </c>
      <c r="N954" s="24" t="s">
        <v>2877</v>
      </c>
      <c r="O954" s="1" t="str">
        <f>"342122196410219218"</f>
        <v>342122196410219218</v>
      </c>
      <c r="P954" s="23" t="s">
        <v>2878</v>
      </c>
      <c r="Q954" s="23">
        <v>45094</v>
      </c>
      <c r="R954" s="32">
        <v>45460</v>
      </c>
      <c r="V954" s="33">
        <v>200</v>
      </c>
      <c r="W954" s="28">
        <v>64.29</v>
      </c>
      <c r="X954" s="34" t="s">
        <v>54</v>
      </c>
      <c r="Y954" s="33">
        <v>128.58</v>
      </c>
      <c r="AC954" s="28">
        <v>64.29</v>
      </c>
      <c r="AD954" s="34" t="s">
        <v>54</v>
      </c>
      <c r="AE954" s="33">
        <v>128.58</v>
      </c>
      <c r="AN954" s="7" t="s">
        <v>54</v>
      </c>
      <c r="AO954" s="7" t="s">
        <v>55</v>
      </c>
      <c r="AP954" s="7" t="s">
        <v>56</v>
      </c>
      <c r="AT954" s="47" t="s">
        <v>57</v>
      </c>
      <c r="AU954" s="47" t="s">
        <v>57</v>
      </c>
    </row>
    <row r="955" spans="1:47">
      <c r="A955" s="4" t="s">
        <v>48</v>
      </c>
      <c r="C955" s="21"/>
      <c r="D955" s="22" t="s">
        <v>49</v>
      </c>
      <c r="G955" s="23">
        <v>45093</v>
      </c>
      <c r="H955" s="24" t="s">
        <v>2879</v>
      </c>
      <c r="J955" s="28" t="s">
        <v>51</v>
      </c>
      <c r="L955" s="24" t="s">
        <v>2880</v>
      </c>
      <c r="M955" s="1" t="str">
        <f>"341221198805180415"</f>
        <v>341221198805180415</v>
      </c>
      <c r="N955" s="24" t="s">
        <v>2880</v>
      </c>
      <c r="O955" s="1" t="str">
        <f>"341221198805180415"</f>
        <v>341221198805180415</v>
      </c>
      <c r="P955" s="23" t="s">
        <v>2881</v>
      </c>
      <c r="Q955" s="23">
        <v>45094</v>
      </c>
      <c r="R955" s="32">
        <v>45460</v>
      </c>
      <c r="V955" s="33">
        <v>200</v>
      </c>
      <c r="W955" s="28">
        <v>64.29</v>
      </c>
      <c r="X955" s="34" t="s">
        <v>54</v>
      </c>
      <c r="Y955" s="33">
        <v>128.58</v>
      </c>
      <c r="AC955" s="28">
        <v>64.29</v>
      </c>
      <c r="AD955" s="34" t="s">
        <v>54</v>
      </c>
      <c r="AE955" s="33">
        <v>128.58</v>
      </c>
      <c r="AN955" s="7" t="s">
        <v>54</v>
      </c>
      <c r="AO955" s="7" t="s">
        <v>55</v>
      </c>
      <c r="AP955" s="7" t="s">
        <v>56</v>
      </c>
      <c r="AT955" s="47" t="s">
        <v>57</v>
      </c>
      <c r="AU955" s="47" t="s">
        <v>57</v>
      </c>
    </row>
    <row r="956" spans="1:47">
      <c r="A956" s="4" t="s">
        <v>48</v>
      </c>
      <c r="C956" s="21"/>
      <c r="D956" s="22" t="s">
        <v>49</v>
      </c>
      <c r="G956" s="23">
        <v>45093</v>
      </c>
      <c r="H956" s="24" t="s">
        <v>2882</v>
      </c>
      <c r="J956" s="28" t="s">
        <v>51</v>
      </c>
      <c r="L956" s="24" t="s">
        <v>2883</v>
      </c>
      <c r="M956" s="1" t="str">
        <f>"341221198606190231"</f>
        <v>341221198606190231</v>
      </c>
      <c r="N956" s="24" t="s">
        <v>2883</v>
      </c>
      <c r="O956" s="1" t="str">
        <f>"341221198606190231"</f>
        <v>341221198606190231</v>
      </c>
      <c r="P956" s="23" t="s">
        <v>2884</v>
      </c>
      <c r="Q956" s="23">
        <v>45094</v>
      </c>
      <c r="R956" s="32">
        <v>45460</v>
      </c>
      <c r="V956" s="33">
        <v>200</v>
      </c>
      <c r="W956" s="28">
        <v>64.29</v>
      </c>
      <c r="X956" s="34" t="s">
        <v>54</v>
      </c>
      <c r="Y956" s="33">
        <v>128.58</v>
      </c>
      <c r="AC956" s="28">
        <v>64.29</v>
      </c>
      <c r="AD956" s="34" t="s">
        <v>54</v>
      </c>
      <c r="AE956" s="33">
        <v>128.58</v>
      </c>
      <c r="AN956" s="7" t="s">
        <v>54</v>
      </c>
      <c r="AO956" s="7" t="s">
        <v>55</v>
      </c>
      <c r="AP956" s="7" t="s">
        <v>56</v>
      </c>
      <c r="AT956" s="47" t="s">
        <v>57</v>
      </c>
      <c r="AU956" s="47" t="s">
        <v>57</v>
      </c>
    </row>
    <row r="957" spans="1:47">
      <c r="A957" s="4" t="s">
        <v>48</v>
      </c>
      <c r="C957" s="21"/>
      <c r="D957" s="22" t="s">
        <v>49</v>
      </c>
      <c r="G957" s="23">
        <v>45093</v>
      </c>
      <c r="H957" s="24" t="s">
        <v>2885</v>
      </c>
      <c r="J957" s="28" t="s">
        <v>51</v>
      </c>
      <c r="L957" s="24" t="s">
        <v>2886</v>
      </c>
      <c r="M957" s="1" t="str">
        <f>"341221198909297343"</f>
        <v>341221198909297343</v>
      </c>
      <c r="N957" s="24" t="s">
        <v>2886</v>
      </c>
      <c r="O957" s="1" t="str">
        <f>"341221198909297343"</f>
        <v>341221198909297343</v>
      </c>
      <c r="P957" s="23" t="s">
        <v>2887</v>
      </c>
      <c r="Q957" s="23">
        <v>45094</v>
      </c>
      <c r="R957" s="32">
        <v>45460</v>
      </c>
      <c r="V957" s="33">
        <v>200</v>
      </c>
      <c r="W957" s="28">
        <v>64.29</v>
      </c>
      <c r="X957" s="34" t="s">
        <v>54</v>
      </c>
      <c r="Y957" s="33">
        <v>128.58</v>
      </c>
      <c r="AC957" s="28">
        <v>64.29</v>
      </c>
      <c r="AD957" s="34" t="s">
        <v>54</v>
      </c>
      <c r="AE957" s="33">
        <v>128.58</v>
      </c>
      <c r="AN957" s="7" t="s">
        <v>54</v>
      </c>
      <c r="AO957" s="7" t="s">
        <v>55</v>
      </c>
      <c r="AP957" s="7" t="s">
        <v>56</v>
      </c>
      <c r="AT957" s="47" t="s">
        <v>57</v>
      </c>
      <c r="AU957" s="47" t="s">
        <v>57</v>
      </c>
    </row>
    <row r="958" spans="1:47">
      <c r="A958" s="4" t="s">
        <v>48</v>
      </c>
      <c r="C958" s="21"/>
      <c r="D958" s="22" t="s">
        <v>49</v>
      </c>
      <c r="G958" s="23">
        <v>45093</v>
      </c>
      <c r="H958" s="24" t="s">
        <v>2888</v>
      </c>
      <c r="J958" s="28" t="s">
        <v>51</v>
      </c>
      <c r="L958" s="24" t="s">
        <v>2889</v>
      </c>
      <c r="M958" s="1" t="str">
        <f>"341221198907021415"</f>
        <v>341221198907021415</v>
      </c>
      <c r="N958" s="24" t="s">
        <v>2889</v>
      </c>
      <c r="O958" s="1" t="str">
        <f>"341221198907021415"</f>
        <v>341221198907021415</v>
      </c>
      <c r="P958" s="23" t="s">
        <v>2890</v>
      </c>
      <c r="Q958" s="23">
        <v>45094</v>
      </c>
      <c r="R958" s="32">
        <v>45460</v>
      </c>
      <c r="V958" s="33">
        <v>200</v>
      </c>
      <c r="W958" s="28">
        <v>64.29</v>
      </c>
      <c r="X958" s="34" t="s">
        <v>54</v>
      </c>
      <c r="Y958" s="33">
        <v>128.58</v>
      </c>
      <c r="AC958" s="28">
        <v>64.29</v>
      </c>
      <c r="AD958" s="34" t="s">
        <v>54</v>
      </c>
      <c r="AE958" s="33">
        <v>128.58</v>
      </c>
      <c r="AN958" s="7" t="s">
        <v>54</v>
      </c>
      <c r="AO958" s="7" t="s">
        <v>55</v>
      </c>
      <c r="AP958" s="7" t="s">
        <v>56</v>
      </c>
      <c r="AT958" s="47" t="s">
        <v>57</v>
      </c>
      <c r="AU958" s="47" t="s">
        <v>57</v>
      </c>
    </row>
    <row r="959" spans="1:47">
      <c r="A959" s="4" t="s">
        <v>48</v>
      </c>
      <c r="C959" s="21"/>
      <c r="D959" s="22" t="s">
        <v>49</v>
      </c>
      <c r="G959" s="23">
        <v>45079</v>
      </c>
      <c r="H959" s="24" t="s">
        <v>2891</v>
      </c>
      <c r="J959" s="28" t="s">
        <v>51</v>
      </c>
      <c r="L959" s="24" t="s">
        <v>2892</v>
      </c>
      <c r="M959" s="1" t="str">
        <f>"222304197711185029"</f>
        <v>222304197711185029</v>
      </c>
      <c r="N959" s="24" t="s">
        <v>2892</v>
      </c>
      <c r="O959" s="1" t="str">
        <f>"222304197711185029"</f>
        <v>222304197711185029</v>
      </c>
      <c r="P959" s="23" t="s">
        <v>2893</v>
      </c>
      <c r="Q959" s="23">
        <v>45080</v>
      </c>
      <c r="R959" s="32">
        <v>45446</v>
      </c>
      <c r="V959" s="33">
        <v>50</v>
      </c>
      <c r="W959" s="28">
        <v>64.29</v>
      </c>
      <c r="X959" s="34" t="s">
        <v>54</v>
      </c>
      <c r="Y959" s="33">
        <v>32.15</v>
      </c>
      <c r="AC959" s="28">
        <v>64.29</v>
      </c>
      <c r="AD959" s="34" t="s">
        <v>54</v>
      </c>
      <c r="AE959" s="33">
        <v>32.15</v>
      </c>
      <c r="AN959" s="7" t="s">
        <v>54</v>
      </c>
      <c r="AO959" s="7" t="s">
        <v>55</v>
      </c>
      <c r="AP959" s="7" t="s">
        <v>56</v>
      </c>
      <c r="AT959" s="47" t="s">
        <v>57</v>
      </c>
      <c r="AU959" s="47" t="s">
        <v>57</v>
      </c>
    </row>
    <row r="960" spans="1:47">
      <c r="A960" s="4" t="s">
        <v>48</v>
      </c>
      <c r="C960" s="21"/>
      <c r="D960" s="22" t="s">
        <v>49</v>
      </c>
      <c r="G960" s="23">
        <v>45077</v>
      </c>
      <c r="H960" s="24" t="s">
        <v>2894</v>
      </c>
      <c r="J960" s="28" t="s">
        <v>51</v>
      </c>
      <c r="L960" s="24" t="s">
        <v>2895</v>
      </c>
      <c r="M960" s="1" t="str">
        <f>"341221198701278258"</f>
        <v>341221198701278258</v>
      </c>
      <c r="N960" s="24" t="s">
        <v>2895</v>
      </c>
      <c r="O960" s="1" t="str">
        <f>"341221198701278258"</f>
        <v>341221198701278258</v>
      </c>
      <c r="P960" s="23" t="s">
        <v>2896</v>
      </c>
      <c r="Q960" s="23">
        <v>45078</v>
      </c>
      <c r="R960" s="32">
        <v>45444</v>
      </c>
      <c r="V960" s="33">
        <v>50</v>
      </c>
      <c r="W960" s="28">
        <v>64.29</v>
      </c>
      <c r="X960" s="34" t="s">
        <v>54</v>
      </c>
      <c r="Y960" s="33">
        <v>32.15</v>
      </c>
      <c r="AC960" s="28">
        <v>64.29</v>
      </c>
      <c r="AD960" s="34" t="s">
        <v>54</v>
      </c>
      <c r="AE960" s="33">
        <v>32.15</v>
      </c>
      <c r="AN960" s="7" t="s">
        <v>54</v>
      </c>
      <c r="AO960" s="7" t="s">
        <v>55</v>
      </c>
      <c r="AP960" s="7" t="s">
        <v>56</v>
      </c>
      <c r="AT960" s="47" t="s">
        <v>57</v>
      </c>
      <c r="AU960" s="47" t="s">
        <v>57</v>
      </c>
    </row>
    <row r="961" spans="1:47">
      <c r="A961" s="4" t="s">
        <v>48</v>
      </c>
      <c r="C961" s="21"/>
      <c r="D961" s="22" t="s">
        <v>49</v>
      </c>
      <c r="G961" s="23">
        <v>45078</v>
      </c>
      <c r="H961" s="24" t="s">
        <v>2897</v>
      </c>
      <c r="J961" s="28" t="s">
        <v>51</v>
      </c>
      <c r="L961" s="24" t="s">
        <v>2898</v>
      </c>
      <c r="M961" s="1" t="str">
        <f>"341221197806051282"</f>
        <v>341221197806051282</v>
      </c>
      <c r="N961" s="24" t="s">
        <v>2898</v>
      </c>
      <c r="O961" s="1" t="str">
        <f>"341221197806051282"</f>
        <v>341221197806051282</v>
      </c>
      <c r="P961" s="23" t="s">
        <v>2899</v>
      </c>
      <c r="Q961" s="23">
        <v>45079</v>
      </c>
      <c r="R961" s="32">
        <v>45445</v>
      </c>
      <c r="V961" s="33">
        <v>50</v>
      </c>
      <c r="W961" s="28">
        <v>64.29</v>
      </c>
      <c r="X961" s="34" t="s">
        <v>54</v>
      </c>
      <c r="Y961" s="33">
        <v>32.15</v>
      </c>
      <c r="AC961" s="28">
        <v>64.29</v>
      </c>
      <c r="AD961" s="34" t="s">
        <v>54</v>
      </c>
      <c r="AE961" s="33">
        <v>32.15</v>
      </c>
      <c r="AN961" s="7" t="s">
        <v>54</v>
      </c>
      <c r="AO961" s="7" t="s">
        <v>55</v>
      </c>
      <c r="AP961" s="7" t="s">
        <v>56</v>
      </c>
      <c r="AT961" s="47" t="s">
        <v>57</v>
      </c>
      <c r="AU961" s="47" t="s">
        <v>57</v>
      </c>
    </row>
    <row r="962" spans="1:47">
      <c r="A962" s="4" t="s">
        <v>48</v>
      </c>
      <c r="C962" s="21"/>
      <c r="D962" s="22" t="s">
        <v>49</v>
      </c>
      <c r="G962" s="23">
        <v>45077</v>
      </c>
      <c r="H962" s="24" t="s">
        <v>2900</v>
      </c>
      <c r="J962" s="28" t="s">
        <v>51</v>
      </c>
      <c r="L962" s="24" t="s">
        <v>2901</v>
      </c>
      <c r="M962" s="1" t="str">
        <f>"131082197507128318"</f>
        <v>131082197507128318</v>
      </c>
      <c r="N962" s="24" t="s">
        <v>2901</v>
      </c>
      <c r="O962" s="1" t="str">
        <f>"131082197507128318"</f>
        <v>131082197507128318</v>
      </c>
      <c r="P962" s="23" t="s">
        <v>2902</v>
      </c>
      <c r="Q962" s="23">
        <v>45078</v>
      </c>
      <c r="R962" s="32">
        <v>45444</v>
      </c>
      <c r="V962" s="33">
        <v>50</v>
      </c>
      <c r="W962" s="28">
        <v>64.29</v>
      </c>
      <c r="X962" s="34" t="s">
        <v>54</v>
      </c>
      <c r="Y962" s="33">
        <v>32.15</v>
      </c>
      <c r="AC962" s="28">
        <v>64.29</v>
      </c>
      <c r="AD962" s="34" t="s">
        <v>54</v>
      </c>
      <c r="AE962" s="33">
        <v>32.15</v>
      </c>
      <c r="AN962" s="7" t="s">
        <v>54</v>
      </c>
      <c r="AO962" s="7" t="s">
        <v>55</v>
      </c>
      <c r="AP962" s="7" t="s">
        <v>56</v>
      </c>
      <c r="AT962" s="47" t="s">
        <v>57</v>
      </c>
      <c r="AU962" s="47" t="s">
        <v>57</v>
      </c>
    </row>
    <row r="963" spans="1:47">
      <c r="A963" s="4" t="s">
        <v>48</v>
      </c>
      <c r="C963" s="21"/>
      <c r="D963" s="22" t="s">
        <v>49</v>
      </c>
      <c r="G963" s="23">
        <v>45093</v>
      </c>
      <c r="H963" s="24" t="s">
        <v>2903</v>
      </c>
      <c r="J963" s="28" t="s">
        <v>51</v>
      </c>
      <c r="L963" s="24" t="s">
        <v>2904</v>
      </c>
      <c r="M963" s="1" t="str">
        <f>"341221198012043760"</f>
        <v>341221198012043760</v>
      </c>
      <c r="N963" s="24" t="s">
        <v>2904</v>
      </c>
      <c r="O963" s="1" t="str">
        <f>"341221198012043760"</f>
        <v>341221198012043760</v>
      </c>
      <c r="P963" s="23" t="s">
        <v>2905</v>
      </c>
      <c r="Q963" s="23">
        <v>45094</v>
      </c>
      <c r="R963" s="32">
        <v>45460</v>
      </c>
      <c r="V963" s="33">
        <v>100</v>
      </c>
      <c r="W963" s="28">
        <v>64.29</v>
      </c>
      <c r="X963" s="34" t="s">
        <v>54</v>
      </c>
      <c r="Y963" s="33">
        <v>64.29</v>
      </c>
      <c r="AC963" s="28">
        <v>64.29</v>
      </c>
      <c r="AD963" s="34" t="s">
        <v>54</v>
      </c>
      <c r="AE963" s="33">
        <v>64.29</v>
      </c>
      <c r="AN963" s="7" t="s">
        <v>54</v>
      </c>
      <c r="AO963" s="7" t="s">
        <v>55</v>
      </c>
      <c r="AP963" s="7" t="s">
        <v>56</v>
      </c>
      <c r="AT963" s="47" t="s">
        <v>57</v>
      </c>
      <c r="AU963" s="47" t="s">
        <v>57</v>
      </c>
    </row>
    <row r="964" spans="1:47">
      <c r="A964" s="4" t="s">
        <v>48</v>
      </c>
      <c r="C964" s="21"/>
      <c r="D964" s="22" t="s">
        <v>49</v>
      </c>
      <c r="G964" s="23">
        <v>45093</v>
      </c>
      <c r="H964" s="24" t="s">
        <v>2906</v>
      </c>
      <c r="J964" s="28" t="s">
        <v>51</v>
      </c>
      <c r="L964" s="24" t="s">
        <v>2907</v>
      </c>
      <c r="M964" s="1" t="str">
        <f>"341221198211121522"</f>
        <v>341221198211121522</v>
      </c>
      <c r="N964" s="24" t="s">
        <v>2907</v>
      </c>
      <c r="O964" s="1" t="str">
        <f>"341221198211121522"</f>
        <v>341221198211121522</v>
      </c>
      <c r="P964" s="23" t="s">
        <v>2908</v>
      </c>
      <c r="Q964" s="23">
        <v>45094</v>
      </c>
      <c r="R964" s="32">
        <v>45460</v>
      </c>
      <c r="V964" s="33">
        <v>100</v>
      </c>
      <c r="W964" s="28">
        <v>64.29</v>
      </c>
      <c r="X964" s="34" t="s">
        <v>54</v>
      </c>
      <c r="Y964" s="33">
        <v>64.29</v>
      </c>
      <c r="AC964" s="28">
        <v>64.29</v>
      </c>
      <c r="AD964" s="34" t="s">
        <v>54</v>
      </c>
      <c r="AE964" s="33">
        <v>64.29</v>
      </c>
      <c r="AN964" s="7" t="s">
        <v>54</v>
      </c>
      <c r="AO964" s="7" t="s">
        <v>55</v>
      </c>
      <c r="AP964" s="7" t="s">
        <v>56</v>
      </c>
      <c r="AT964" s="47" t="s">
        <v>57</v>
      </c>
      <c r="AU964" s="47" t="s">
        <v>57</v>
      </c>
    </row>
    <row r="965" spans="1:47">
      <c r="A965" s="4" t="s">
        <v>48</v>
      </c>
      <c r="C965" s="21"/>
      <c r="D965" s="22" t="s">
        <v>49</v>
      </c>
      <c r="G965" s="23">
        <v>45093</v>
      </c>
      <c r="H965" s="24" t="s">
        <v>2909</v>
      </c>
      <c r="J965" s="28" t="s">
        <v>51</v>
      </c>
      <c r="L965" s="24" t="s">
        <v>2910</v>
      </c>
      <c r="M965" s="1" t="str">
        <f>"131082197607140322"</f>
        <v>131082197607140322</v>
      </c>
      <c r="N965" s="24" t="s">
        <v>2910</v>
      </c>
      <c r="O965" s="1" t="str">
        <f>"131082197607140322"</f>
        <v>131082197607140322</v>
      </c>
      <c r="P965" s="23" t="s">
        <v>2911</v>
      </c>
      <c r="Q965" s="23">
        <v>45182</v>
      </c>
      <c r="R965" s="32">
        <v>45548</v>
      </c>
      <c r="V965" s="33">
        <v>100</v>
      </c>
      <c r="W965" s="28">
        <v>64.29</v>
      </c>
      <c r="X965" s="34" t="s">
        <v>54</v>
      </c>
      <c r="Y965" s="33">
        <v>64.29</v>
      </c>
      <c r="AC965" s="28">
        <v>64.29</v>
      </c>
      <c r="AD965" s="34" t="s">
        <v>54</v>
      </c>
      <c r="AE965" s="33">
        <v>64.29</v>
      </c>
      <c r="AN965" s="7" t="s">
        <v>54</v>
      </c>
      <c r="AO965" s="7" t="s">
        <v>55</v>
      </c>
      <c r="AP965" s="7" t="s">
        <v>56</v>
      </c>
      <c r="AT965" s="47" t="s">
        <v>57</v>
      </c>
      <c r="AU965" s="47" t="s">
        <v>57</v>
      </c>
    </row>
    <row r="966" spans="1:47">
      <c r="A966" s="4" t="s">
        <v>48</v>
      </c>
      <c r="C966" s="21"/>
      <c r="D966" s="22" t="s">
        <v>49</v>
      </c>
      <c r="G966" s="23">
        <v>45083</v>
      </c>
      <c r="H966" s="24" t="s">
        <v>2912</v>
      </c>
      <c r="J966" s="28" t="s">
        <v>51</v>
      </c>
      <c r="L966" s="24" t="s">
        <v>2913</v>
      </c>
      <c r="M966" s="1" t="str">
        <f>"132821196804088276"</f>
        <v>132821196804088276</v>
      </c>
      <c r="N966" s="24" t="s">
        <v>2913</v>
      </c>
      <c r="O966" s="1" t="str">
        <f>"132821196804088276"</f>
        <v>132821196804088276</v>
      </c>
      <c r="P966" s="23" t="s">
        <v>2914</v>
      </c>
      <c r="Q966" s="23">
        <v>45291</v>
      </c>
      <c r="R966" s="32">
        <v>45657</v>
      </c>
      <c r="V966" s="33">
        <v>100</v>
      </c>
      <c r="W966" s="28">
        <v>64.29</v>
      </c>
      <c r="X966" s="34" t="s">
        <v>54</v>
      </c>
      <c r="Y966" s="33">
        <v>64.29</v>
      </c>
      <c r="AC966" s="28">
        <v>64.29</v>
      </c>
      <c r="AD966" s="34" t="s">
        <v>54</v>
      </c>
      <c r="AE966" s="33">
        <v>64.29</v>
      </c>
      <c r="AN966" s="7" t="s">
        <v>54</v>
      </c>
      <c r="AO966" s="7" t="s">
        <v>55</v>
      </c>
      <c r="AP966" s="7" t="s">
        <v>56</v>
      </c>
      <c r="AT966" s="47" t="s">
        <v>57</v>
      </c>
      <c r="AU966" s="47" t="s">
        <v>57</v>
      </c>
    </row>
    <row r="967" spans="1:47">
      <c r="A967" s="4" t="s">
        <v>48</v>
      </c>
      <c r="C967" s="21"/>
      <c r="D967" s="22" t="s">
        <v>49</v>
      </c>
      <c r="G967" s="23">
        <v>45091</v>
      </c>
      <c r="H967" s="24" t="s">
        <v>2915</v>
      </c>
      <c r="J967" s="28" t="s">
        <v>51</v>
      </c>
      <c r="L967" s="24" t="s">
        <v>2916</v>
      </c>
      <c r="M967" s="1" t="str">
        <f>"132821196007078278"</f>
        <v>132821196007078278</v>
      </c>
      <c r="N967" s="24" t="s">
        <v>2916</v>
      </c>
      <c r="O967" s="1" t="str">
        <f>"132821196007078278"</f>
        <v>132821196007078278</v>
      </c>
      <c r="P967" s="23" t="s">
        <v>2917</v>
      </c>
      <c r="Q967" s="23">
        <v>45092</v>
      </c>
      <c r="R967" s="32">
        <v>45458</v>
      </c>
      <c r="V967" s="33">
        <v>200</v>
      </c>
      <c r="W967" s="28">
        <v>64.29</v>
      </c>
      <c r="X967" s="34" t="s">
        <v>54</v>
      </c>
      <c r="Y967" s="33">
        <v>128.58</v>
      </c>
      <c r="AC967" s="28">
        <v>64.29</v>
      </c>
      <c r="AD967" s="34" t="s">
        <v>54</v>
      </c>
      <c r="AE967" s="33">
        <v>128.58</v>
      </c>
      <c r="AN967" s="7" t="s">
        <v>54</v>
      </c>
      <c r="AO967" s="7" t="s">
        <v>55</v>
      </c>
      <c r="AP967" s="7" t="s">
        <v>56</v>
      </c>
      <c r="AT967" s="47" t="s">
        <v>57</v>
      </c>
      <c r="AU967" s="47" t="s">
        <v>57</v>
      </c>
    </row>
    <row r="968" spans="1:47">
      <c r="A968" s="4" t="s">
        <v>48</v>
      </c>
      <c r="C968" s="21"/>
      <c r="D968" s="22" t="s">
        <v>49</v>
      </c>
      <c r="G968" s="23">
        <v>45091</v>
      </c>
      <c r="H968" s="24" t="s">
        <v>2918</v>
      </c>
      <c r="J968" s="28" t="s">
        <v>51</v>
      </c>
      <c r="L968" s="24" t="s">
        <v>2919</v>
      </c>
      <c r="M968" s="1" t="str">
        <f>"131082197208148319"</f>
        <v>131082197208148319</v>
      </c>
      <c r="N968" s="24" t="s">
        <v>2919</v>
      </c>
      <c r="O968" s="1" t="str">
        <f>"131082197208148319"</f>
        <v>131082197208148319</v>
      </c>
      <c r="P968" s="23" t="s">
        <v>2920</v>
      </c>
      <c r="Q968" s="23">
        <v>45092</v>
      </c>
      <c r="R968" s="32">
        <v>45458</v>
      </c>
      <c r="V968" s="33">
        <v>200</v>
      </c>
      <c r="W968" s="28">
        <v>64.29</v>
      </c>
      <c r="X968" s="34" t="s">
        <v>54</v>
      </c>
      <c r="Y968" s="33">
        <v>128.58</v>
      </c>
      <c r="AC968" s="28">
        <v>64.29</v>
      </c>
      <c r="AD968" s="34" t="s">
        <v>54</v>
      </c>
      <c r="AE968" s="33">
        <v>128.58</v>
      </c>
      <c r="AN968" s="7" t="s">
        <v>54</v>
      </c>
      <c r="AO968" s="7" t="s">
        <v>55</v>
      </c>
      <c r="AP968" s="7" t="s">
        <v>56</v>
      </c>
      <c r="AT968" s="47" t="s">
        <v>57</v>
      </c>
      <c r="AU968" s="47" t="s">
        <v>57</v>
      </c>
    </row>
    <row r="969" spans="1:47">
      <c r="A969" s="4" t="s">
        <v>48</v>
      </c>
      <c r="C969" s="21"/>
      <c r="D969" s="22" t="s">
        <v>49</v>
      </c>
      <c r="G969" s="23">
        <v>45092</v>
      </c>
      <c r="H969" s="24" t="s">
        <v>2921</v>
      </c>
      <c r="J969" s="28" t="s">
        <v>51</v>
      </c>
      <c r="L969" s="24" t="s">
        <v>2922</v>
      </c>
      <c r="M969" s="1" t="str">
        <f>"131082199211180554"</f>
        <v>131082199211180554</v>
      </c>
      <c r="N969" s="24" t="s">
        <v>2922</v>
      </c>
      <c r="O969" s="1" t="str">
        <f>"131082199211180554"</f>
        <v>131082199211180554</v>
      </c>
      <c r="P969" s="23" t="s">
        <v>2923</v>
      </c>
      <c r="Q969" s="23">
        <v>45291</v>
      </c>
      <c r="R969" s="32">
        <v>45657</v>
      </c>
      <c r="V969" s="33">
        <v>200</v>
      </c>
      <c r="W969" s="28">
        <v>64.29</v>
      </c>
      <c r="X969" s="34" t="s">
        <v>54</v>
      </c>
      <c r="Y969" s="33">
        <v>128.58</v>
      </c>
      <c r="AC969" s="28">
        <v>64.29</v>
      </c>
      <c r="AD969" s="34" t="s">
        <v>54</v>
      </c>
      <c r="AE969" s="33">
        <v>128.58</v>
      </c>
      <c r="AN969" s="7" t="s">
        <v>54</v>
      </c>
      <c r="AO969" s="7" t="s">
        <v>55</v>
      </c>
      <c r="AP969" s="7" t="s">
        <v>56</v>
      </c>
      <c r="AT969" s="47" t="s">
        <v>57</v>
      </c>
      <c r="AU969" s="47" t="s">
        <v>57</v>
      </c>
    </row>
    <row r="970" spans="1:47">
      <c r="A970" s="4" t="s">
        <v>48</v>
      </c>
      <c r="C970" s="21"/>
      <c r="D970" s="22" t="s">
        <v>49</v>
      </c>
      <c r="G970" s="23">
        <v>45078</v>
      </c>
      <c r="H970" s="24" t="s">
        <v>2924</v>
      </c>
      <c r="J970" s="28" t="s">
        <v>51</v>
      </c>
      <c r="L970" s="24" t="s">
        <v>1657</v>
      </c>
      <c r="M970" s="1" t="str">
        <f>"341202199006252131"</f>
        <v>341202199006252131</v>
      </c>
      <c r="N970" s="24" t="s">
        <v>1657</v>
      </c>
      <c r="O970" s="1" t="str">
        <f>"341202199006252131"</f>
        <v>341202199006252131</v>
      </c>
      <c r="P970" s="23" t="s">
        <v>2925</v>
      </c>
      <c r="Q970" s="23">
        <v>45079</v>
      </c>
      <c r="R970" s="32">
        <v>45445</v>
      </c>
      <c r="V970" s="33">
        <v>50</v>
      </c>
      <c r="W970" s="28">
        <v>64.29</v>
      </c>
      <c r="X970" s="34" t="s">
        <v>54</v>
      </c>
      <c r="Y970" s="33">
        <v>32.15</v>
      </c>
      <c r="AC970" s="28">
        <v>64.29</v>
      </c>
      <c r="AD970" s="34" t="s">
        <v>54</v>
      </c>
      <c r="AE970" s="33">
        <v>32.15</v>
      </c>
      <c r="AN970" s="7" t="s">
        <v>54</v>
      </c>
      <c r="AO970" s="7" t="s">
        <v>55</v>
      </c>
      <c r="AP970" s="7" t="s">
        <v>56</v>
      </c>
      <c r="AT970" s="47" t="s">
        <v>57</v>
      </c>
      <c r="AU970" s="47" t="s">
        <v>57</v>
      </c>
    </row>
    <row r="971" spans="1:47">
      <c r="A971" s="4" t="s">
        <v>48</v>
      </c>
      <c r="C971" s="21"/>
      <c r="D971" s="22" t="s">
        <v>49</v>
      </c>
      <c r="G971" s="23">
        <v>45075</v>
      </c>
      <c r="H971" s="24" t="s">
        <v>2926</v>
      </c>
      <c r="J971" s="28" t="s">
        <v>51</v>
      </c>
      <c r="L971" s="24" t="s">
        <v>2927</v>
      </c>
      <c r="M971" s="1" t="str">
        <f>"132821196001058276"</f>
        <v>132821196001058276</v>
      </c>
      <c r="N971" s="24" t="s">
        <v>2927</v>
      </c>
      <c r="O971" s="1" t="str">
        <f>"132821196001058276"</f>
        <v>132821196001058276</v>
      </c>
      <c r="P971" s="23" t="s">
        <v>2928</v>
      </c>
      <c r="Q971" s="23">
        <v>45076</v>
      </c>
      <c r="R971" s="32">
        <v>45442</v>
      </c>
      <c r="V971" s="33">
        <v>50</v>
      </c>
      <c r="W971" s="28">
        <v>64.29</v>
      </c>
      <c r="X971" s="34" t="s">
        <v>54</v>
      </c>
      <c r="Y971" s="33">
        <v>32.15</v>
      </c>
      <c r="AC971" s="28">
        <v>64.29</v>
      </c>
      <c r="AD971" s="34" t="s">
        <v>54</v>
      </c>
      <c r="AE971" s="33">
        <v>32.15</v>
      </c>
      <c r="AN971" s="7" t="s">
        <v>54</v>
      </c>
      <c r="AO971" s="7" t="s">
        <v>55</v>
      </c>
      <c r="AP971" s="7" t="s">
        <v>56</v>
      </c>
      <c r="AT971" s="47" t="s">
        <v>57</v>
      </c>
      <c r="AU971" s="47" t="s">
        <v>57</v>
      </c>
    </row>
    <row r="972" spans="1:47">
      <c r="A972" s="4" t="s">
        <v>48</v>
      </c>
      <c r="C972" s="21"/>
      <c r="D972" s="22" t="s">
        <v>49</v>
      </c>
      <c r="G972" s="23">
        <v>45074</v>
      </c>
      <c r="H972" s="24" t="s">
        <v>2929</v>
      </c>
      <c r="J972" s="28" t="s">
        <v>51</v>
      </c>
      <c r="L972" s="24" t="s">
        <v>189</v>
      </c>
      <c r="M972" s="1" t="str">
        <f>"230302198702025818"</f>
        <v>230302198702025818</v>
      </c>
      <c r="N972" s="24" t="s">
        <v>189</v>
      </c>
      <c r="O972" s="1" t="str">
        <f>"230302198702025818"</f>
        <v>230302198702025818</v>
      </c>
      <c r="P972" s="23" t="s">
        <v>2930</v>
      </c>
      <c r="Q972" s="23">
        <v>45075</v>
      </c>
      <c r="R972" s="32">
        <v>45441</v>
      </c>
      <c r="V972" s="33">
        <v>50</v>
      </c>
      <c r="W972" s="28">
        <v>64.29</v>
      </c>
      <c r="X972" s="34" t="s">
        <v>54</v>
      </c>
      <c r="Y972" s="33">
        <v>32.15</v>
      </c>
      <c r="AC972" s="28">
        <v>64.29</v>
      </c>
      <c r="AD972" s="34" t="s">
        <v>54</v>
      </c>
      <c r="AE972" s="33">
        <v>32.15</v>
      </c>
      <c r="AN972" s="7" t="s">
        <v>54</v>
      </c>
      <c r="AO972" s="7" t="s">
        <v>55</v>
      </c>
      <c r="AP972" s="7" t="s">
        <v>56</v>
      </c>
      <c r="AT972" s="47" t="s">
        <v>57</v>
      </c>
      <c r="AU972" s="47" t="s">
        <v>57</v>
      </c>
    </row>
    <row r="973" spans="1:47">
      <c r="A973" s="4" t="s">
        <v>48</v>
      </c>
      <c r="C973" s="21"/>
      <c r="D973" s="22" t="s">
        <v>49</v>
      </c>
      <c r="G973" s="23">
        <v>45076</v>
      </c>
      <c r="H973" s="24" t="s">
        <v>2931</v>
      </c>
      <c r="J973" s="28" t="s">
        <v>51</v>
      </c>
      <c r="L973" s="24" t="s">
        <v>2932</v>
      </c>
      <c r="M973" s="1" t="str">
        <f>"132821197212108282"</f>
        <v>132821197212108282</v>
      </c>
      <c r="N973" s="24" t="s">
        <v>2932</v>
      </c>
      <c r="O973" s="1" t="str">
        <f>"132821197212108282"</f>
        <v>132821197212108282</v>
      </c>
      <c r="P973" s="23" t="s">
        <v>2933</v>
      </c>
      <c r="Q973" s="23">
        <v>45077</v>
      </c>
      <c r="R973" s="32">
        <v>45443</v>
      </c>
      <c r="V973" s="33">
        <v>50</v>
      </c>
      <c r="W973" s="28">
        <v>64.29</v>
      </c>
      <c r="X973" s="34" t="s">
        <v>54</v>
      </c>
      <c r="Y973" s="33">
        <v>32.15</v>
      </c>
      <c r="AC973" s="28">
        <v>64.29</v>
      </c>
      <c r="AD973" s="34" t="s">
        <v>54</v>
      </c>
      <c r="AE973" s="33">
        <v>32.15</v>
      </c>
      <c r="AN973" s="7" t="s">
        <v>54</v>
      </c>
      <c r="AO973" s="7" t="s">
        <v>55</v>
      </c>
      <c r="AP973" s="7" t="s">
        <v>56</v>
      </c>
      <c r="AT973" s="47" t="s">
        <v>57</v>
      </c>
      <c r="AU973" s="47" t="s">
        <v>57</v>
      </c>
    </row>
    <row r="974" spans="1:47">
      <c r="A974" s="4" t="s">
        <v>48</v>
      </c>
      <c r="C974" s="21"/>
      <c r="D974" s="22" t="s">
        <v>49</v>
      </c>
      <c r="G974" s="23">
        <v>45074</v>
      </c>
      <c r="H974" s="24" t="s">
        <v>2934</v>
      </c>
      <c r="J974" s="28" t="s">
        <v>51</v>
      </c>
      <c r="L974" s="24" t="s">
        <v>294</v>
      </c>
      <c r="M974" s="1" t="str">
        <f>"150207197206081011"</f>
        <v>150207197206081011</v>
      </c>
      <c r="N974" s="24" t="s">
        <v>294</v>
      </c>
      <c r="O974" s="1" t="str">
        <f>"150207197206081011"</f>
        <v>150207197206081011</v>
      </c>
      <c r="P974" s="23" t="s">
        <v>2935</v>
      </c>
      <c r="Q974" s="23">
        <v>45075</v>
      </c>
      <c r="R974" s="32">
        <v>45441</v>
      </c>
      <c r="V974" s="33">
        <v>50</v>
      </c>
      <c r="W974" s="28">
        <v>64.29</v>
      </c>
      <c r="X974" s="34" t="s">
        <v>54</v>
      </c>
      <c r="Y974" s="33">
        <v>32.15</v>
      </c>
      <c r="AC974" s="28">
        <v>64.29</v>
      </c>
      <c r="AD974" s="34" t="s">
        <v>54</v>
      </c>
      <c r="AE974" s="33">
        <v>32.15</v>
      </c>
      <c r="AN974" s="7" t="s">
        <v>54</v>
      </c>
      <c r="AO974" s="7" t="s">
        <v>55</v>
      </c>
      <c r="AP974" s="7" t="s">
        <v>56</v>
      </c>
      <c r="AT974" s="47" t="s">
        <v>57</v>
      </c>
      <c r="AU974" s="47" t="s">
        <v>57</v>
      </c>
    </row>
    <row r="975" spans="1:47">
      <c r="A975" s="4" t="s">
        <v>48</v>
      </c>
      <c r="C975" s="21"/>
      <c r="D975" s="22" t="s">
        <v>49</v>
      </c>
      <c r="G975" s="23">
        <v>45091</v>
      </c>
      <c r="H975" s="24" t="s">
        <v>2936</v>
      </c>
      <c r="J975" s="28" t="s">
        <v>51</v>
      </c>
      <c r="L975" s="24" t="s">
        <v>2937</v>
      </c>
      <c r="M975" s="1" t="str">
        <f>"132821197212108282"</f>
        <v>132821197212108282</v>
      </c>
      <c r="N975" s="24" t="s">
        <v>2937</v>
      </c>
      <c r="O975" s="1" t="str">
        <f>"132821197212108282"</f>
        <v>132821197212108282</v>
      </c>
      <c r="P975" s="23" t="s">
        <v>2933</v>
      </c>
      <c r="Q975" s="23">
        <v>45214</v>
      </c>
      <c r="R975" s="32">
        <v>45580</v>
      </c>
      <c r="V975" s="33">
        <v>100</v>
      </c>
      <c r="W975" s="28">
        <v>64.29</v>
      </c>
      <c r="X975" s="34" t="s">
        <v>54</v>
      </c>
      <c r="Y975" s="33">
        <v>64.29</v>
      </c>
      <c r="AC975" s="28">
        <v>64.29</v>
      </c>
      <c r="AD975" s="34" t="s">
        <v>54</v>
      </c>
      <c r="AE975" s="33">
        <v>64.29</v>
      </c>
      <c r="AN975" s="7" t="s">
        <v>54</v>
      </c>
      <c r="AO975" s="7" t="s">
        <v>55</v>
      </c>
      <c r="AP975" s="7" t="s">
        <v>56</v>
      </c>
      <c r="AT975" s="47" t="s">
        <v>57</v>
      </c>
      <c r="AU975" s="47" t="s">
        <v>57</v>
      </c>
    </row>
    <row r="976" spans="1:47">
      <c r="A976" s="4" t="s">
        <v>48</v>
      </c>
      <c r="C976" s="21"/>
      <c r="D976" s="22" t="s">
        <v>49</v>
      </c>
      <c r="G976" s="23">
        <v>45092</v>
      </c>
      <c r="H976" s="24" t="s">
        <v>2938</v>
      </c>
      <c r="J976" s="28" t="s">
        <v>51</v>
      </c>
      <c r="L976" s="24" t="s">
        <v>2173</v>
      </c>
      <c r="M976" s="1" t="str">
        <f>"130824198211124012"</f>
        <v>130824198211124012</v>
      </c>
      <c r="N976" s="24" t="s">
        <v>2173</v>
      </c>
      <c r="O976" s="1" t="str">
        <f>"130824198211124012"</f>
        <v>130824198211124012</v>
      </c>
      <c r="P976" s="23" t="s">
        <v>2939</v>
      </c>
      <c r="Q976" s="23">
        <v>45093</v>
      </c>
      <c r="R976" s="32">
        <v>45459</v>
      </c>
      <c r="V976" s="33">
        <v>100</v>
      </c>
      <c r="W976" s="28">
        <v>64.29</v>
      </c>
      <c r="X976" s="34" t="s">
        <v>54</v>
      </c>
      <c r="Y976" s="33">
        <v>64.29</v>
      </c>
      <c r="AC976" s="28">
        <v>64.29</v>
      </c>
      <c r="AD976" s="34" t="s">
        <v>54</v>
      </c>
      <c r="AE976" s="33">
        <v>64.29</v>
      </c>
      <c r="AN976" s="7" t="s">
        <v>54</v>
      </c>
      <c r="AO976" s="7" t="s">
        <v>55</v>
      </c>
      <c r="AP976" s="7" t="s">
        <v>56</v>
      </c>
      <c r="AT976" s="47" t="s">
        <v>57</v>
      </c>
      <c r="AU976" s="47" t="s">
        <v>57</v>
      </c>
    </row>
    <row r="977" spans="1:47">
      <c r="A977" s="4" t="s">
        <v>48</v>
      </c>
      <c r="C977" s="21"/>
      <c r="D977" s="22" t="s">
        <v>49</v>
      </c>
      <c r="G977" s="23">
        <v>45092</v>
      </c>
      <c r="H977" s="24" t="s">
        <v>2940</v>
      </c>
      <c r="J977" s="28" t="s">
        <v>51</v>
      </c>
      <c r="L977" s="24" t="s">
        <v>2941</v>
      </c>
      <c r="M977" s="1" t="str">
        <f>"13108219811104821X"</f>
        <v>13108219811104821X</v>
      </c>
      <c r="N977" s="24" t="s">
        <v>2941</v>
      </c>
      <c r="O977" s="1" t="str">
        <f>"13108219811104821X"</f>
        <v>13108219811104821X</v>
      </c>
      <c r="P977" s="23" t="s">
        <v>2942</v>
      </c>
      <c r="Q977" s="23">
        <v>45093</v>
      </c>
      <c r="R977" s="32">
        <v>45459</v>
      </c>
      <c r="V977" s="33">
        <v>100</v>
      </c>
      <c r="W977" s="28">
        <v>64.29</v>
      </c>
      <c r="X977" s="34" t="s">
        <v>54</v>
      </c>
      <c r="Y977" s="33">
        <v>64.29</v>
      </c>
      <c r="AC977" s="28">
        <v>64.29</v>
      </c>
      <c r="AD977" s="34" t="s">
        <v>54</v>
      </c>
      <c r="AE977" s="33">
        <v>64.29</v>
      </c>
      <c r="AN977" s="7" t="s">
        <v>54</v>
      </c>
      <c r="AO977" s="7" t="s">
        <v>55</v>
      </c>
      <c r="AP977" s="7" t="s">
        <v>56</v>
      </c>
      <c r="AT977" s="47" t="s">
        <v>57</v>
      </c>
      <c r="AU977" s="47" t="s">
        <v>57</v>
      </c>
    </row>
    <row r="978" spans="1:47">
      <c r="A978" s="4" t="s">
        <v>48</v>
      </c>
      <c r="C978" s="21"/>
      <c r="D978" s="22" t="s">
        <v>49</v>
      </c>
      <c r="G978" s="23">
        <v>45079</v>
      </c>
      <c r="H978" s="24" t="s">
        <v>2943</v>
      </c>
      <c r="J978" s="28" t="s">
        <v>51</v>
      </c>
      <c r="L978" s="24" t="s">
        <v>2944</v>
      </c>
      <c r="M978" s="1" t="str">
        <f>"341221199104077321"</f>
        <v>341221199104077321</v>
      </c>
      <c r="N978" s="24" t="s">
        <v>2944</v>
      </c>
      <c r="O978" s="1" t="str">
        <f>"341221199104077321"</f>
        <v>341221199104077321</v>
      </c>
      <c r="P978" s="23" t="s">
        <v>2945</v>
      </c>
      <c r="Q978" s="23">
        <v>45080</v>
      </c>
      <c r="R978" s="32">
        <v>45446</v>
      </c>
      <c r="V978" s="33">
        <v>100</v>
      </c>
      <c r="W978" s="28">
        <v>64.29</v>
      </c>
      <c r="X978" s="34" t="s">
        <v>54</v>
      </c>
      <c r="Y978" s="33">
        <v>64.29</v>
      </c>
      <c r="AC978" s="28">
        <v>64.29</v>
      </c>
      <c r="AD978" s="34" t="s">
        <v>54</v>
      </c>
      <c r="AE978" s="33">
        <v>64.29</v>
      </c>
      <c r="AN978" s="7" t="s">
        <v>54</v>
      </c>
      <c r="AO978" s="7" t="s">
        <v>55</v>
      </c>
      <c r="AP978" s="7" t="s">
        <v>56</v>
      </c>
      <c r="AT978" s="47" t="s">
        <v>57</v>
      </c>
      <c r="AU978" s="47" t="s">
        <v>57</v>
      </c>
    </row>
    <row r="979" spans="1:47">
      <c r="A979" s="4" t="s">
        <v>48</v>
      </c>
      <c r="C979" s="21"/>
      <c r="D979" s="22" t="s">
        <v>49</v>
      </c>
      <c r="G979" s="23">
        <v>45079</v>
      </c>
      <c r="H979" s="24" t="s">
        <v>2946</v>
      </c>
      <c r="J979" s="28" t="s">
        <v>51</v>
      </c>
      <c r="L979" s="24" t="s">
        <v>2947</v>
      </c>
      <c r="M979" s="1" t="str">
        <f>"342122196501010022"</f>
        <v>342122196501010022</v>
      </c>
      <c r="N979" s="24" t="s">
        <v>2947</v>
      </c>
      <c r="O979" s="1" t="str">
        <f>"342122196501010022"</f>
        <v>342122196501010022</v>
      </c>
      <c r="P979" s="23" t="s">
        <v>2948</v>
      </c>
      <c r="Q979" s="23">
        <v>45080</v>
      </c>
      <c r="R979" s="32">
        <v>45446</v>
      </c>
      <c r="V979" s="33">
        <v>100</v>
      </c>
      <c r="W979" s="28">
        <v>64.29</v>
      </c>
      <c r="X979" s="34" t="s">
        <v>54</v>
      </c>
      <c r="Y979" s="33">
        <v>64.29</v>
      </c>
      <c r="AC979" s="28">
        <v>64.29</v>
      </c>
      <c r="AD979" s="34" t="s">
        <v>54</v>
      </c>
      <c r="AE979" s="33">
        <v>64.29</v>
      </c>
      <c r="AN979" s="7" t="s">
        <v>54</v>
      </c>
      <c r="AO979" s="7" t="s">
        <v>55</v>
      </c>
      <c r="AP979" s="7" t="s">
        <v>56</v>
      </c>
      <c r="AT979" s="47" t="s">
        <v>57</v>
      </c>
      <c r="AU979" s="47" t="s">
        <v>57</v>
      </c>
    </row>
    <row r="980" spans="1:47">
      <c r="A980" s="4" t="s">
        <v>48</v>
      </c>
      <c r="C980" s="21"/>
      <c r="D980" s="22" t="s">
        <v>49</v>
      </c>
      <c r="G980" s="23">
        <v>45079</v>
      </c>
      <c r="H980" s="24" t="s">
        <v>2949</v>
      </c>
      <c r="J980" s="28" t="s">
        <v>51</v>
      </c>
      <c r="L980" s="24" t="s">
        <v>2950</v>
      </c>
      <c r="M980" s="1" t="str">
        <f>"341204199801040827"</f>
        <v>341204199801040827</v>
      </c>
      <c r="N980" s="24" t="s">
        <v>2950</v>
      </c>
      <c r="O980" s="1" t="str">
        <f>"341204199801040827"</f>
        <v>341204199801040827</v>
      </c>
      <c r="P980" s="23" t="s">
        <v>2951</v>
      </c>
      <c r="Q980" s="23">
        <v>45080</v>
      </c>
      <c r="R980" s="32">
        <v>45446</v>
      </c>
      <c r="V980" s="33">
        <v>100</v>
      </c>
      <c r="W980" s="28">
        <v>64.29</v>
      </c>
      <c r="X980" s="34" t="s">
        <v>54</v>
      </c>
      <c r="Y980" s="33">
        <v>64.29</v>
      </c>
      <c r="AC980" s="28">
        <v>64.29</v>
      </c>
      <c r="AD980" s="34" t="s">
        <v>54</v>
      </c>
      <c r="AE980" s="33">
        <v>64.29</v>
      </c>
      <c r="AN980" s="7" t="s">
        <v>54</v>
      </c>
      <c r="AO980" s="7" t="s">
        <v>55</v>
      </c>
      <c r="AP980" s="7" t="s">
        <v>56</v>
      </c>
      <c r="AT980" s="47" t="s">
        <v>57</v>
      </c>
      <c r="AU980" s="47" t="s">
        <v>57</v>
      </c>
    </row>
    <row r="981" spans="1:47">
      <c r="A981" s="4" t="s">
        <v>48</v>
      </c>
      <c r="C981" s="21"/>
      <c r="D981" s="22" t="s">
        <v>49</v>
      </c>
      <c r="G981" s="23">
        <v>45082</v>
      </c>
      <c r="H981" s="24" t="s">
        <v>2952</v>
      </c>
      <c r="J981" s="28" t="s">
        <v>51</v>
      </c>
      <c r="L981" s="24" t="s">
        <v>2953</v>
      </c>
      <c r="M981" s="1" t="str">
        <f>"341221198706291283"</f>
        <v>341221198706291283</v>
      </c>
      <c r="N981" s="24" t="s">
        <v>2953</v>
      </c>
      <c r="O981" s="1" t="str">
        <f>"341221198706291283"</f>
        <v>341221198706291283</v>
      </c>
      <c r="P981" s="23" t="s">
        <v>2954</v>
      </c>
      <c r="Q981" s="23">
        <v>45083</v>
      </c>
      <c r="R981" s="32">
        <v>45449</v>
      </c>
      <c r="V981" s="33">
        <v>100</v>
      </c>
      <c r="W981" s="28">
        <v>64.29</v>
      </c>
      <c r="X981" s="34" t="s">
        <v>54</v>
      </c>
      <c r="Y981" s="33">
        <v>64.29</v>
      </c>
      <c r="AC981" s="28">
        <v>64.29</v>
      </c>
      <c r="AD981" s="34" t="s">
        <v>54</v>
      </c>
      <c r="AE981" s="33">
        <v>64.29</v>
      </c>
      <c r="AN981" s="7" t="s">
        <v>54</v>
      </c>
      <c r="AO981" s="7" t="s">
        <v>55</v>
      </c>
      <c r="AP981" s="7" t="s">
        <v>56</v>
      </c>
      <c r="AT981" s="47" t="s">
        <v>57</v>
      </c>
      <c r="AU981" s="47" t="s">
        <v>57</v>
      </c>
    </row>
    <row r="982" spans="1:47">
      <c r="A982" s="4" t="s">
        <v>48</v>
      </c>
      <c r="C982" s="21"/>
      <c r="D982" s="22" t="s">
        <v>49</v>
      </c>
      <c r="G982" s="23">
        <v>45079</v>
      </c>
      <c r="H982" s="24" t="s">
        <v>2955</v>
      </c>
      <c r="J982" s="28" t="s">
        <v>51</v>
      </c>
      <c r="L982" s="24" t="s">
        <v>2956</v>
      </c>
      <c r="M982" s="1" t="str">
        <f>"341202196208151917"</f>
        <v>341202196208151917</v>
      </c>
      <c r="N982" s="24" t="s">
        <v>2956</v>
      </c>
      <c r="O982" s="1" t="str">
        <f>"341202196208151917"</f>
        <v>341202196208151917</v>
      </c>
      <c r="P982" s="23" t="s">
        <v>2957</v>
      </c>
      <c r="Q982" s="23">
        <v>45080</v>
      </c>
      <c r="R982" s="32">
        <v>45446</v>
      </c>
      <c r="V982" s="33">
        <v>100</v>
      </c>
      <c r="W982" s="28">
        <v>64.29</v>
      </c>
      <c r="X982" s="34" t="s">
        <v>54</v>
      </c>
      <c r="Y982" s="33">
        <v>64.29</v>
      </c>
      <c r="AC982" s="28">
        <v>64.29</v>
      </c>
      <c r="AD982" s="34" t="s">
        <v>54</v>
      </c>
      <c r="AE982" s="33">
        <v>64.29</v>
      </c>
      <c r="AN982" s="7" t="s">
        <v>54</v>
      </c>
      <c r="AO982" s="7" t="s">
        <v>55</v>
      </c>
      <c r="AP982" s="7" t="s">
        <v>56</v>
      </c>
      <c r="AT982" s="47" t="s">
        <v>57</v>
      </c>
      <c r="AU982" s="47" t="s">
        <v>57</v>
      </c>
    </row>
    <row r="983" spans="1:47">
      <c r="A983" s="4" t="s">
        <v>48</v>
      </c>
      <c r="C983" s="21"/>
      <c r="D983" s="22" t="s">
        <v>49</v>
      </c>
      <c r="G983" s="23">
        <v>45082</v>
      </c>
      <c r="H983" s="24" t="s">
        <v>2958</v>
      </c>
      <c r="J983" s="28" t="s">
        <v>51</v>
      </c>
      <c r="L983" s="24" t="s">
        <v>2959</v>
      </c>
      <c r="M983" s="1" t="str">
        <f>"341221198311266980"</f>
        <v>341221198311266980</v>
      </c>
      <c r="N983" s="24" t="s">
        <v>2959</v>
      </c>
      <c r="O983" s="1" t="str">
        <f>"341221198311266980"</f>
        <v>341221198311266980</v>
      </c>
      <c r="P983" s="23" t="s">
        <v>2960</v>
      </c>
      <c r="Q983" s="23">
        <v>45291</v>
      </c>
      <c r="R983" s="32">
        <v>45657</v>
      </c>
      <c r="V983" s="33">
        <v>100</v>
      </c>
      <c r="W983" s="28">
        <v>64.29</v>
      </c>
      <c r="X983" s="34" t="s">
        <v>54</v>
      </c>
      <c r="Y983" s="33">
        <v>64.29</v>
      </c>
      <c r="AC983" s="28">
        <v>64.29</v>
      </c>
      <c r="AD983" s="34" t="s">
        <v>54</v>
      </c>
      <c r="AE983" s="33">
        <v>64.29</v>
      </c>
      <c r="AN983" s="7" t="s">
        <v>54</v>
      </c>
      <c r="AO983" s="7" t="s">
        <v>55</v>
      </c>
      <c r="AP983" s="7" t="s">
        <v>56</v>
      </c>
      <c r="AT983" s="47" t="s">
        <v>57</v>
      </c>
      <c r="AU983" s="47" t="s">
        <v>57</v>
      </c>
    </row>
    <row r="984" spans="1:47">
      <c r="A984" s="4" t="s">
        <v>48</v>
      </c>
      <c r="C984" s="21"/>
      <c r="D984" s="22" t="s">
        <v>49</v>
      </c>
      <c r="G984" s="23">
        <v>45081</v>
      </c>
      <c r="H984" s="24" t="s">
        <v>2961</v>
      </c>
      <c r="J984" s="28" t="s">
        <v>51</v>
      </c>
      <c r="L984" s="24" t="s">
        <v>2962</v>
      </c>
      <c r="M984" s="1" t="str">
        <f>"341203197112104412"</f>
        <v>341203197112104412</v>
      </c>
      <c r="N984" s="24" t="s">
        <v>2962</v>
      </c>
      <c r="O984" s="1" t="str">
        <f>"341203197112104412"</f>
        <v>341203197112104412</v>
      </c>
      <c r="P984" s="23" t="s">
        <v>2963</v>
      </c>
      <c r="Q984" s="23">
        <v>45082</v>
      </c>
      <c r="R984" s="32">
        <v>45448</v>
      </c>
      <c r="V984" s="33">
        <v>100</v>
      </c>
      <c r="W984" s="28">
        <v>64.29</v>
      </c>
      <c r="X984" s="34" t="s">
        <v>54</v>
      </c>
      <c r="Y984" s="33">
        <v>64.29</v>
      </c>
      <c r="AC984" s="28">
        <v>64.29</v>
      </c>
      <c r="AD984" s="34" t="s">
        <v>54</v>
      </c>
      <c r="AE984" s="33">
        <v>64.29</v>
      </c>
      <c r="AN984" s="7" t="s">
        <v>54</v>
      </c>
      <c r="AO984" s="7" t="s">
        <v>55</v>
      </c>
      <c r="AP984" s="7" t="s">
        <v>56</v>
      </c>
      <c r="AT984" s="47" t="s">
        <v>57</v>
      </c>
      <c r="AU984" s="47" t="s">
        <v>57</v>
      </c>
    </row>
    <row r="985" spans="1:47">
      <c r="A985" s="4" t="s">
        <v>48</v>
      </c>
      <c r="C985" s="21"/>
      <c r="D985" s="22" t="s">
        <v>49</v>
      </c>
      <c r="G985" s="23">
        <v>45082</v>
      </c>
      <c r="H985" s="24" t="s">
        <v>2964</v>
      </c>
      <c r="J985" s="28" t="s">
        <v>51</v>
      </c>
      <c r="L985" s="24" t="s">
        <v>2965</v>
      </c>
      <c r="M985" s="1" t="str">
        <f>"342122196911300591"</f>
        <v>342122196911300591</v>
      </c>
      <c r="N985" s="24" t="s">
        <v>2965</v>
      </c>
      <c r="O985" s="1" t="str">
        <f>"342122196911300591"</f>
        <v>342122196911300591</v>
      </c>
      <c r="P985" s="23" t="s">
        <v>2966</v>
      </c>
      <c r="Q985" s="23">
        <v>45236</v>
      </c>
      <c r="R985" s="32">
        <v>45602</v>
      </c>
      <c r="V985" s="33">
        <v>100</v>
      </c>
      <c r="W985" s="28">
        <v>64.29</v>
      </c>
      <c r="X985" s="34" t="s">
        <v>54</v>
      </c>
      <c r="Y985" s="33">
        <v>64.29</v>
      </c>
      <c r="AC985" s="28">
        <v>64.29</v>
      </c>
      <c r="AD985" s="34" t="s">
        <v>54</v>
      </c>
      <c r="AE985" s="33">
        <v>64.29</v>
      </c>
      <c r="AN985" s="7" t="s">
        <v>54</v>
      </c>
      <c r="AO985" s="7" t="s">
        <v>55</v>
      </c>
      <c r="AP985" s="7" t="s">
        <v>56</v>
      </c>
      <c r="AT985" s="47" t="s">
        <v>57</v>
      </c>
      <c r="AU985" s="47" t="s">
        <v>57</v>
      </c>
    </row>
    <row r="986" spans="1:47">
      <c r="A986" s="4" t="s">
        <v>48</v>
      </c>
      <c r="C986" s="21"/>
      <c r="D986" s="22" t="s">
        <v>49</v>
      </c>
      <c r="G986" s="23">
        <v>45079</v>
      </c>
      <c r="H986" s="24" t="s">
        <v>2967</v>
      </c>
      <c r="J986" s="28" t="s">
        <v>51</v>
      </c>
      <c r="L986" s="24" t="s">
        <v>2968</v>
      </c>
      <c r="M986" s="1" t="str">
        <f>"341202198807203570"</f>
        <v>341202198807203570</v>
      </c>
      <c r="N986" s="24" t="s">
        <v>2968</v>
      </c>
      <c r="O986" s="1" t="str">
        <f>"341202198807203570"</f>
        <v>341202198807203570</v>
      </c>
      <c r="P986" s="23" t="s">
        <v>2969</v>
      </c>
      <c r="Q986" s="23">
        <v>45080</v>
      </c>
      <c r="R986" s="32">
        <v>45446</v>
      </c>
      <c r="V986" s="33">
        <v>100</v>
      </c>
      <c r="W986" s="28">
        <v>64.29</v>
      </c>
      <c r="X986" s="34" t="s">
        <v>54</v>
      </c>
      <c r="Y986" s="33">
        <v>64.29</v>
      </c>
      <c r="AC986" s="28">
        <v>64.29</v>
      </c>
      <c r="AD986" s="34" t="s">
        <v>54</v>
      </c>
      <c r="AE986" s="33">
        <v>64.29</v>
      </c>
      <c r="AN986" s="7" t="s">
        <v>54</v>
      </c>
      <c r="AO986" s="7" t="s">
        <v>55</v>
      </c>
      <c r="AP986" s="7" t="s">
        <v>56</v>
      </c>
      <c r="AT986" s="47" t="s">
        <v>57</v>
      </c>
      <c r="AU986" s="47" t="s">
        <v>57</v>
      </c>
    </row>
    <row r="987" spans="1:47">
      <c r="A987" s="4" t="s">
        <v>48</v>
      </c>
      <c r="C987" s="21"/>
      <c r="D987" s="22" t="s">
        <v>49</v>
      </c>
      <c r="G987" s="23">
        <v>45072</v>
      </c>
      <c r="H987" s="24" t="s">
        <v>2970</v>
      </c>
      <c r="J987" s="28" t="s">
        <v>51</v>
      </c>
      <c r="L987" s="24" t="s">
        <v>2971</v>
      </c>
      <c r="M987" s="1" t="str">
        <f>"341203198309030618"</f>
        <v>341203198309030618</v>
      </c>
      <c r="N987" s="24" t="s">
        <v>2971</v>
      </c>
      <c r="O987" s="1" t="str">
        <f>"341203198309030618"</f>
        <v>341203198309030618</v>
      </c>
      <c r="P987" s="23" t="s">
        <v>2972</v>
      </c>
      <c r="Q987" s="23">
        <v>45073</v>
      </c>
      <c r="R987" s="32">
        <v>45439</v>
      </c>
      <c r="V987" s="33">
        <v>50</v>
      </c>
      <c r="W987" s="28">
        <v>64.29</v>
      </c>
      <c r="X987" s="34" t="s">
        <v>54</v>
      </c>
      <c r="Y987" s="33">
        <v>32.15</v>
      </c>
      <c r="AC987" s="28">
        <v>64.29</v>
      </c>
      <c r="AD987" s="34" t="s">
        <v>54</v>
      </c>
      <c r="AE987" s="33">
        <v>32.15</v>
      </c>
      <c r="AN987" s="7" t="s">
        <v>54</v>
      </c>
      <c r="AO987" s="7" t="s">
        <v>55</v>
      </c>
      <c r="AP987" s="7" t="s">
        <v>56</v>
      </c>
      <c r="AT987" s="47" t="s">
        <v>57</v>
      </c>
      <c r="AU987" s="47" t="s">
        <v>57</v>
      </c>
    </row>
    <row r="988" spans="1:47">
      <c r="A988" s="4" t="s">
        <v>48</v>
      </c>
      <c r="C988" s="21"/>
      <c r="D988" s="22" t="s">
        <v>49</v>
      </c>
      <c r="G988" s="23">
        <v>45102</v>
      </c>
      <c r="H988" s="24" t="s">
        <v>2973</v>
      </c>
      <c r="J988" s="28" t="s">
        <v>51</v>
      </c>
      <c r="L988" s="24" t="s">
        <v>2974</v>
      </c>
      <c r="M988" s="1" t="str">
        <f>"412728198404044229"</f>
        <v>412728198404044229</v>
      </c>
      <c r="N988" s="24" t="s">
        <v>2974</v>
      </c>
      <c r="O988" s="1" t="str">
        <f>"412728198404044229"</f>
        <v>412728198404044229</v>
      </c>
      <c r="P988" s="23" t="s">
        <v>2975</v>
      </c>
      <c r="Q988" s="23">
        <v>45103</v>
      </c>
      <c r="R988" s="32">
        <v>45469</v>
      </c>
      <c r="V988" s="33">
        <v>100</v>
      </c>
      <c r="W988" s="28">
        <v>64.29</v>
      </c>
      <c r="X988" s="34" t="s">
        <v>54</v>
      </c>
      <c r="Y988" s="33">
        <v>64.29</v>
      </c>
      <c r="AC988" s="28">
        <v>64.29</v>
      </c>
      <c r="AD988" s="34" t="s">
        <v>54</v>
      </c>
      <c r="AE988" s="33">
        <v>64.29</v>
      </c>
      <c r="AN988" s="7" t="s">
        <v>54</v>
      </c>
      <c r="AO988" s="7" t="s">
        <v>55</v>
      </c>
      <c r="AP988" s="7" t="s">
        <v>56</v>
      </c>
      <c r="AT988" s="47" t="s">
        <v>57</v>
      </c>
      <c r="AU988" s="47" t="s">
        <v>57</v>
      </c>
    </row>
    <row r="989" spans="1:47">
      <c r="A989" s="4" t="s">
        <v>48</v>
      </c>
      <c r="C989" s="21"/>
      <c r="D989" s="22" t="s">
        <v>49</v>
      </c>
      <c r="G989" s="23">
        <v>45102</v>
      </c>
      <c r="H989" s="24" t="s">
        <v>2976</v>
      </c>
      <c r="J989" s="28" t="s">
        <v>51</v>
      </c>
      <c r="L989" s="24" t="s">
        <v>2977</v>
      </c>
      <c r="M989" s="1" t="str">
        <f>"342101197612101827"</f>
        <v>342101197612101827</v>
      </c>
      <c r="N989" s="24" t="s">
        <v>2977</v>
      </c>
      <c r="O989" s="1" t="str">
        <f>"342101197612101827"</f>
        <v>342101197612101827</v>
      </c>
      <c r="P989" s="23" t="s">
        <v>2978</v>
      </c>
      <c r="Q989" s="23">
        <v>45103</v>
      </c>
      <c r="R989" s="32">
        <v>45469</v>
      </c>
      <c r="V989" s="33">
        <v>100</v>
      </c>
      <c r="W989" s="28">
        <v>64.29</v>
      </c>
      <c r="X989" s="34" t="s">
        <v>54</v>
      </c>
      <c r="Y989" s="33">
        <v>64.29</v>
      </c>
      <c r="AC989" s="28">
        <v>64.29</v>
      </c>
      <c r="AD989" s="34" t="s">
        <v>54</v>
      </c>
      <c r="AE989" s="33">
        <v>64.29</v>
      </c>
      <c r="AN989" s="7" t="s">
        <v>54</v>
      </c>
      <c r="AO989" s="7" t="s">
        <v>55</v>
      </c>
      <c r="AP989" s="7" t="s">
        <v>56</v>
      </c>
      <c r="AT989" s="47" t="s">
        <v>57</v>
      </c>
      <c r="AU989" s="47" t="s">
        <v>57</v>
      </c>
    </row>
    <row r="990" spans="1:47">
      <c r="A990" s="4" t="s">
        <v>48</v>
      </c>
      <c r="C990" s="21"/>
      <c r="D990" s="22" t="s">
        <v>49</v>
      </c>
      <c r="G990" s="23">
        <v>45092</v>
      </c>
      <c r="H990" s="24" t="s">
        <v>2979</v>
      </c>
      <c r="J990" s="28" t="s">
        <v>51</v>
      </c>
      <c r="L990" s="24" t="s">
        <v>2980</v>
      </c>
      <c r="M990" s="1" t="str">
        <f>"341203197202132820"</f>
        <v>341203197202132820</v>
      </c>
      <c r="N990" s="24" t="s">
        <v>2980</v>
      </c>
      <c r="O990" s="1" t="str">
        <f>"341203197202132820"</f>
        <v>341203197202132820</v>
      </c>
      <c r="P990" s="23" t="s">
        <v>2981</v>
      </c>
      <c r="Q990" s="23">
        <v>45093</v>
      </c>
      <c r="R990" s="32">
        <v>45459</v>
      </c>
      <c r="V990" s="33">
        <v>100</v>
      </c>
      <c r="W990" s="28">
        <v>64.29</v>
      </c>
      <c r="X990" s="34" t="s">
        <v>54</v>
      </c>
      <c r="Y990" s="33">
        <v>64.29</v>
      </c>
      <c r="AC990" s="28">
        <v>64.29</v>
      </c>
      <c r="AD990" s="34" t="s">
        <v>54</v>
      </c>
      <c r="AE990" s="33">
        <v>64.29</v>
      </c>
      <c r="AN990" s="7" t="s">
        <v>54</v>
      </c>
      <c r="AO990" s="7" t="s">
        <v>55</v>
      </c>
      <c r="AP990" s="7" t="s">
        <v>56</v>
      </c>
      <c r="AT990" s="47" t="s">
        <v>57</v>
      </c>
      <c r="AU990" s="47" t="s">
        <v>57</v>
      </c>
    </row>
    <row r="991" spans="1:47">
      <c r="A991" s="4" t="s">
        <v>48</v>
      </c>
      <c r="C991" s="21"/>
      <c r="D991" s="22" t="s">
        <v>49</v>
      </c>
      <c r="G991" s="23">
        <v>45092</v>
      </c>
      <c r="H991" s="24" t="s">
        <v>2982</v>
      </c>
      <c r="J991" s="28" t="s">
        <v>51</v>
      </c>
      <c r="L991" s="24" t="s">
        <v>2983</v>
      </c>
      <c r="M991" s="1" t="str">
        <f>"132821196612108279"</f>
        <v>132821196612108279</v>
      </c>
      <c r="N991" s="24" t="s">
        <v>2983</v>
      </c>
      <c r="O991" s="1" t="str">
        <f>"132821196612108279"</f>
        <v>132821196612108279</v>
      </c>
      <c r="P991" s="23" t="s">
        <v>2984</v>
      </c>
      <c r="Q991" s="23">
        <v>45246</v>
      </c>
      <c r="R991" s="32">
        <v>45612</v>
      </c>
      <c r="V991" s="33">
        <v>100</v>
      </c>
      <c r="W991" s="28">
        <v>64.29</v>
      </c>
      <c r="X991" s="34" t="s">
        <v>54</v>
      </c>
      <c r="Y991" s="33">
        <v>64.29</v>
      </c>
      <c r="AC991" s="28">
        <v>64.29</v>
      </c>
      <c r="AD991" s="34" t="s">
        <v>54</v>
      </c>
      <c r="AE991" s="33">
        <v>64.29</v>
      </c>
      <c r="AN991" s="7" t="s">
        <v>54</v>
      </c>
      <c r="AO991" s="7" t="s">
        <v>55</v>
      </c>
      <c r="AP991" s="7" t="s">
        <v>56</v>
      </c>
      <c r="AT991" s="47" t="s">
        <v>57</v>
      </c>
      <c r="AU991" s="47" t="s">
        <v>57</v>
      </c>
    </row>
    <row r="992" spans="1:47">
      <c r="A992" s="4" t="s">
        <v>48</v>
      </c>
      <c r="C992" s="21"/>
      <c r="D992" s="22" t="s">
        <v>49</v>
      </c>
      <c r="G992" s="23">
        <v>45091</v>
      </c>
      <c r="H992" s="24" t="s">
        <v>2985</v>
      </c>
      <c r="J992" s="28" t="s">
        <v>51</v>
      </c>
      <c r="L992" s="24" t="s">
        <v>2986</v>
      </c>
      <c r="M992" s="1" t="str">
        <f>"132821195303018275"</f>
        <v>132821195303018275</v>
      </c>
      <c r="N992" s="24" t="s">
        <v>2986</v>
      </c>
      <c r="O992" s="1" t="str">
        <f>"132821195303018275"</f>
        <v>132821195303018275</v>
      </c>
      <c r="P992" s="23" t="s">
        <v>2987</v>
      </c>
      <c r="Q992" s="23">
        <v>45092</v>
      </c>
      <c r="R992" s="32">
        <v>45458</v>
      </c>
      <c r="V992" s="33">
        <v>100</v>
      </c>
      <c r="W992" s="28">
        <v>64.29</v>
      </c>
      <c r="X992" s="34" t="s">
        <v>54</v>
      </c>
      <c r="Y992" s="33">
        <v>64.29</v>
      </c>
      <c r="AC992" s="28">
        <v>64.29</v>
      </c>
      <c r="AD992" s="34" t="s">
        <v>54</v>
      </c>
      <c r="AE992" s="33">
        <v>64.29</v>
      </c>
      <c r="AN992" s="7" t="s">
        <v>54</v>
      </c>
      <c r="AO992" s="7" t="s">
        <v>55</v>
      </c>
      <c r="AP992" s="7" t="s">
        <v>56</v>
      </c>
      <c r="AT992" s="47" t="s">
        <v>57</v>
      </c>
      <c r="AU992" s="47" t="s">
        <v>57</v>
      </c>
    </row>
    <row r="993" spans="1:47">
      <c r="A993" s="4" t="s">
        <v>48</v>
      </c>
      <c r="C993" s="21"/>
      <c r="D993" s="22" t="s">
        <v>49</v>
      </c>
      <c r="G993" s="23">
        <v>45091</v>
      </c>
      <c r="H993" s="24" t="s">
        <v>2988</v>
      </c>
      <c r="J993" s="28" t="s">
        <v>51</v>
      </c>
      <c r="L993" s="24" t="s">
        <v>2989</v>
      </c>
      <c r="M993" s="1" t="str">
        <f>"132821195109078274"</f>
        <v>132821195109078274</v>
      </c>
      <c r="N993" s="24" t="s">
        <v>2989</v>
      </c>
      <c r="O993" s="1" t="str">
        <f>"132821195109078274"</f>
        <v>132821195109078274</v>
      </c>
      <c r="P993" s="23" t="s">
        <v>2990</v>
      </c>
      <c r="Q993" s="23">
        <v>45184</v>
      </c>
      <c r="R993" s="32">
        <v>45550</v>
      </c>
      <c r="V993" s="33">
        <v>100</v>
      </c>
      <c r="W993" s="28">
        <v>64.29</v>
      </c>
      <c r="X993" s="34" t="s">
        <v>54</v>
      </c>
      <c r="Y993" s="33">
        <v>64.29</v>
      </c>
      <c r="AC993" s="28">
        <v>64.29</v>
      </c>
      <c r="AD993" s="34" t="s">
        <v>54</v>
      </c>
      <c r="AE993" s="33">
        <v>64.29</v>
      </c>
      <c r="AN993" s="7" t="s">
        <v>54</v>
      </c>
      <c r="AO993" s="7" t="s">
        <v>55</v>
      </c>
      <c r="AP993" s="7" t="s">
        <v>56</v>
      </c>
      <c r="AT993" s="47" t="s">
        <v>57</v>
      </c>
      <c r="AU993" s="47" t="s">
        <v>57</v>
      </c>
    </row>
    <row r="994" spans="1:47">
      <c r="A994" s="4" t="s">
        <v>48</v>
      </c>
      <c r="C994" s="21"/>
      <c r="D994" s="22" t="s">
        <v>49</v>
      </c>
      <c r="G994" s="23">
        <v>45080</v>
      </c>
      <c r="H994" s="24" t="s">
        <v>2991</v>
      </c>
      <c r="J994" s="28" t="s">
        <v>51</v>
      </c>
      <c r="L994" s="24" t="s">
        <v>2992</v>
      </c>
      <c r="M994" s="1" t="str">
        <f>"341204199403172429"</f>
        <v>341204199403172429</v>
      </c>
      <c r="N994" s="24" t="s">
        <v>2992</v>
      </c>
      <c r="O994" s="1" t="str">
        <f>"341204199403172429"</f>
        <v>341204199403172429</v>
      </c>
      <c r="P994" s="23" t="s">
        <v>2993</v>
      </c>
      <c r="Q994" s="23">
        <v>45081</v>
      </c>
      <c r="R994" s="32">
        <v>45447</v>
      </c>
      <c r="V994" s="33">
        <v>100</v>
      </c>
      <c r="W994" s="28">
        <v>64.29</v>
      </c>
      <c r="X994" s="34" t="s">
        <v>54</v>
      </c>
      <c r="Y994" s="33">
        <v>64.29</v>
      </c>
      <c r="AC994" s="28">
        <v>64.29</v>
      </c>
      <c r="AD994" s="34" t="s">
        <v>54</v>
      </c>
      <c r="AE994" s="33">
        <v>64.29</v>
      </c>
      <c r="AN994" s="7" t="s">
        <v>54</v>
      </c>
      <c r="AO994" s="7" t="s">
        <v>55</v>
      </c>
      <c r="AP994" s="7" t="s">
        <v>56</v>
      </c>
      <c r="AT994" s="47" t="s">
        <v>57</v>
      </c>
      <c r="AU994" s="47" t="s">
        <v>57</v>
      </c>
    </row>
    <row r="995" spans="1:47">
      <c r="A995" s="4" t="s">
        <v>48</v>
      </c>
      <c r="C995" s="21"/>
      <c r="D995" s="22" t="s">
        <v>49</v>
      </c>
      <c r="G995" s="23">
        <v>45082</v>
      </c>
      <c r="H995" s="24" t="s">
        <v>2994</v>
      </c>
      <c r="J995" s="28" t="s">
        <v>51</v>
      </c>
      <c r="L995" s="24" t="s">
        <v>2995</v>
      </c>
      <c r="M995" s="1" t="str">
        <f>"341221199312242301"</f>
        <v>341221199312242301</v>
      </c>
      <c r="N995" s="24" t="s">
        <v>2995</v>
      </c>
      <c r="O995" s="1" t="str">
        <f>"341221199312242301"</f>
        <v>341221199312242301</v>
      </c>
      <c r="P995" s="23" t="s">
        <v>2996</v>
      </c>
      <c r="Q995" s="23">
        <v>45083</v>
      </c>
      <c r="R995" s="32">
        <v>45449</v>
      </c>
      <c r="V995" s="33">
        <v>100</v>
      </c>
      <c r="W995" s="28">
        <v>64.29</v>
      </c>
      <c r="X995" s="34" t="s">
        <v>54</v>
      </c>
      <c r="Y995" s="33">
        <v>64.29</v>
      </c>
      <c r="AC995" s="28">
        <v>64.29</v>
      </c>
      <c r="AD995" s="34" t="s">
        <v>54</v>
      </c>
      <c r="AE995" s="33">
        <v>64.29</v>
      </c>
      <c r="AN995" s="7" t="s">
        <v>54</v>
      </c>
      <c r="AO995" s="7" t="s">
        <v>55</v>
      </c>
      <c r="AP995" s="7" t="s">
        <v>56</v>
      </c>
      <c r="AT995" s="47" t="s">
        <v>57</v>
      </c>
      <c r="AU995" s="47" t="s">
        <v>57</v>
      </c>
    </row>
    <row r="996" spans="1:47">
      <c r="A996" s="4" t="s">
        <v>48</v>
      </c>
      <c r="C996" s="21"/>
      <c r="D996" s="22" t="s">
        <v>49</v>
      </c>
      <c r="G996" s="23">
        <v>45082</v>
      </c>
      <c r="H996" s="24" t="s">
        <v>2997</v>
      </c>
      <c r="J996" s="28" t="s">
        <v>51</v>
      </c>
      <c r="L996" s="24" t="s">
        <v>2998</v>
      </c>
      <c r="M996" s="1" t="str">
        <f>"34212119670803261X"</f>
        <v>34212119670803261X</v>
      </c>
      <c r="N996" s="24" t="s">
        <v>2998</v>
      </c>
      <c r="O996" s="1" t="str">
        <f>"34212119670803261X"</f>
        <v>34212119670803261X</v>
      </c>
      <c r="P996" s="23" t="s">
        <v>2999</v>
      </c>
      <c r="Q996" s="23">
        <v>45175</v>
      </c>
      <c r="R996" s="32">
        <v>45541</v>
      </c>
      <c r="V996" s="33">
        <v>100</v>
      </c>
      <c r="W996" s="28">
        <v>64.29</v>
      </c>
      <c r="X996" s="34" t="s">
        <v>54</v>
      </c>
      <c r="Y996" s="33">
        <v>64.29</v>
      </c>
      <c r="AC996" s="28">
        <v>64.29</v>
      </c>
      <c r="AD996" s="34" t="s">
        <v>54</v>
      </c>
      <c r="AE996" s="33">
        <v>64.29</v>
      </c>
      <c r="AN996" s="7" t="s">
        <v>54</v>
      </c>
      <c r="AO996" s="7" t="s">
        <v>55</v>
      </c>
      <c r="AP996" s="7" t="s">
        <v>56</v>
      </c>
      <c r="AT996" s="47" t="s">
        <v>57</v>
      </c>
      <c r="AU996" s="47" t="s">
        <v>57</v>
      </c>
    </row>
    <row r="997" spans="1:47">
      <c r="A997" s="4" t="s">
        <v>48</v>
      </c>
      <c r="C997" s="21"/>
      <c r="D997" s="22" t="s">
        <v>49</v>
      </c>
      <c r="G997" s="23">
        <v>45082</v>
      </c>
      <c r="H997" s="24" t="s">
        <v>3000</v>
      </c>
      <c r="J997" s="28" t="s">
        <v>51</v>
      </c>
      <c r="L997" s="24" t="s">
        <v>3001</v>
      </c>
      <c r="M997" s="1" t="str">
        <f>"342121196908152034"</f>
        <v>342121196908152034</v>
      </c>
      <c r="N997" s="24" t="s">
        <v>3001</v>
      </c>
      <c r="O997" s="1" t="str">
        <f>"342121196908152034"</f>
        <v>342121196908152034</v>
      </c>
      <c r="P997" s="23" t="s">
        <v>3002</v>
      </c>
      <c r="Q997" s="23">
        <v>45175</v>
      </c>
      <c r="R997" s="32">
        <v>45541</v>
      </c>
      <c r="V997" s="33">
        <v>100</v>
      </c>
      <c r="W997" s="28">
        <v>64.29</v>
      </c>
      <c r="X997" s="34" t="s">
        <v>54</v>
      </c>
      <c r="Y997" s="33">
        <v>64.29</v>
      </c>
      <c r="AC997" s="28">
        <v>64.29</v>
      </c>
      <c r="AD997" s="34" t="s">
        <v>54</v>
      </c>
      <c r="AE997" s="33">
        <v>64.29</v>
      </c>
      <c r="AN997" s="7" t="s">
        <v>54</v>
      </c>
      <c r="AO997" s="7" t="s">
        <v>55</v>
      </c>
      <c r="AP997" s="7" t="s">
        <v>56</v>
      </c>
      <c r="AT997" s="47" t="s">
        <v>57</v>
      </c>
      <c r="AU997" s="47" t="s">
        <v>57</v>
      </c>
    </row>
    <row r="998" spans="1:47">
      <c r="A998" s="4" t="s">
        <v>48</v>
      </c>
      <c r="C998" s="21"/>
      <c r="D998" s="22" t="s">
        <v>49</v>
      </c>
      <c r="G998" s="23">
        <v>45082</v>
      </c>
      <c r="H998" s="24" t="s">
        <v>3003</v>
      </c>
      <c r="J998" s="28" t="s">
        <v>51</v>
      </c>
      <c r="L998" s="24" t="s">
        <v>3004</v>
      </c>
      <c r="M998" s="1" t="str">
        <f>"131082199003090570"</f>
        <v>131082199003090570</v>
      </c>
      <c r="N998" s="24" t="s">
        <v>3004</v>
      </c>
      <c r="O998" s="1" t="str">
        <f>"131082199003090570"</f>
        <v>131082199003090570</v>
      </c>
      <c r="P998" s="23" t="s">
        <v>3005</v>
      </c>
      <c r="Q998" s="23">
        <v>45123</v>
      </c>
      <c r="R998" s="32">
        <v>45489</v>
      </c>
      <c r="V998" s="33">
        <v>100</v>
      </c>
      <c r="W998" s="28">
        <v>64.29</v>
      </c>
      <c r="X998" s="34" t="s">
        <v>54</v>
      </c>
      <c r="Y998" s="33">
        <v>64.29</v>
      </c>
      <c r="AC998" s="28">
        <v>64.29</v>
      </c>
      <c r="AD998" s="34" t="s">
        <v>54</v>
      </c>
      <c r="AE998" s="33">
        <v>64.29</v>
      </c>
      <c r="AN998" s="7" t="s">
        <v>54</v>
      </c>
      <c r="AO998" s="7" t="s">
        <v>55</v>
      </c>
      <c r="AP998" s="7" t="s">
        <v>56</v>
      </c>
      <c r="AT998" s="47" t="s">
        <v>57</v>
      </c>
      <c r="AU998" s="47" t="s">
        <v>57</v>
      </c>
    </row>
    <row r="999" spans="1:47">
      <c r="A999" s="4" t="s">
        <v>48</v>
      </c>
      <c r="C999" s="21"/>
      <c r="D999" s="22" t="s">
        <v>49</v>
      </c>
      <c r="G999" s="23">
        <v>45082</v>
      </c>
      <c r="H999" s="24" t="s">
        <v>3006</v>
      </c>
      <c r="J999" s="28" t="s">
        <v>51</v>
      </c>
      <c r="L999" s="24" t="s">
        <v>3007</v>
      </c>
      <c r="M999" s="1" t="str">
        <f>"132821196402268274"</f>
        <v>132821196402268274</v>
      </c>
      <c r="N999" s="24" t="s">
        <v>3007</v>
      </c>
      <c r="O999" s="1" t="str">
        <f>"132821196402268274"</f>
        <v>132821196402268274</v>
      </c>
      <c r="P999" s="23" t="s">
        <v>3008</v>
      </c>
      <c r="Q999" s="23">
        <v>45144</v>
      </c>
      <c r="R999" s="32">
        <v>45510</v>
      </c>
      <c r="V999" s="33">
        <v>100</v>
      </c>
      <c r="W999" s="28">
        <v>64.29</v>
      </c>
      <c r="X999" s="34" t="s">
        <v>54</v>
      </c>
      <c r="Y999" s="33">
        <v>64.29</v>
      </c>
      <c r="AC999" s="28">
        <v>64.29</v>
      </c>
      <c r="AD999" s="34" t="s">
        <v>54</v>
      </c>
      <c r="AE999" s="33">
        <v>64.29</v>
      </c>
      <c r="AN999" s="7" t="s">
        <v>54</v>
      </c>
      <c r="AO999" s="7" t="s">
        <v>55</v>
      </c>
      <c r="AP999" s="7" t="s">
        <v>56</v>
      </c>
      <c r="AT999" s="47" t="s">
        <v>57</v>
      </c>
      <c r="AU999" s="47" t="s">
        <v>57</v>
      </c>
    </row>
    <row r="1000" spans="1:47">
      <c r="A1000" s="4" t="s">
        <v>48</v>
      </c>
      <c r="C1000" s="21"/>
      <c r="D1000" s="22" t="s">
        <v>49</v>
      </c>
      <c r="G1000" s="23">
        <v>45087</v>
      </c>
      <c r="H1000" s="24" t="s">
        <v>3009</v>
      </c>
      <c r="J1000" s="28" t="s">
        <v>51</v>
      </c>
      <c r="L1000" s="24" t="s">
        <v>3010</v>
      </c>
      <c r="M1000" s="1" t="str">
        <f>"341204199901230222"</f>
        <v>341204199901230222</v>
      </c>
      <c r="N1000" s="24" t="s">
        <v>3010</v>
      </c>
      <c r="O1000" s="1" t="str">
        <f>"341204199901230222"</f>
        <v>341204199901230222</v>
      </c>
      <c r="P1000" s="23" t="s">
        <v>3011</v>
      </c>
      <c r="Q1000" s="23">
        <v>45088</v>
      </c>
      <c r="R1000" s="32">
        <v>45454</v>
      </c>
      <c r="V1000" s="33">
        <v>200</v>
      </c>
      <c r="W1000" s="28">
        <v>64.29</v>
      </c>
      <c r="X1000" s="34" t="s">
        <v>54</v>
      </c>
      <c r="Y1000" s="33">
        <v>128.58</v>
      </c>
      <c r="AC1000" s="28">
        <v>64.29</v>
      </c>
      <c r="AD1000" s="34" t="s">
        <v>54</v>
      </c>
      <c r="AE1000" s="33">
        <v>128.58</v>
      </c>
      <c r="AN1000" s="7" t="s">
        <v>54</v>
      </c>
      <c r="AO1000" s="7" t="s">
        <v>55</v>
      </c>
      <c r="AP1000" s="7" t="s">
        <v>56</v>
      </c>
      <c r="AT1000" s="47" t="s">
        <v>57</v>
      </c>
      <c r="AU1000" s="47" t="s">
        <v>57</v>
      </c>
    </row>
    <row r="1001" spans="1:47">
      <c r="A1001" s="4" t="s">
        <v>48</v>
      </c>
      <c r="C1001" s="21"/>
      <c r="D1001" s="22" t="s">
        <v>49</v>
      </c>
      <c r="G1001" s="23">
        <v>45087</v>
      </c>
      <c r="H1001" s="24" t="s">
        <v>3012</v>
      </c>
      <c r="J1001" s="28" t="s">
        <v>51</v>
      </c>
      <c r="L1001" s="24" t="s">
        <v>3013</v>
      </c>
      <c r="M1001" s="1" t="str">
        <f>"341225199111247910"</f>
        <v>341225199111247910</v>
      </c>
      <c r="N1001" s="24" t="s">
        <v>3013</v>
      </c>
      <c r="O1001" s="1" t="str">
        <f>"341225199111247910"</f>
        <v>341225199111247910</v>
      </c>
      <c r="P1001" s="23" t="s">
        <v>3014</v>
      </c>
      <c r="Q1001" s="23">
        <v>45088</v>
      </c>
      <c r="R1001" s="32">
        <v>45454</v>
      </c>
      <c r="V1001" s="33">
        <v>200</v>
      </c>
      <c r="W1001" s="28">
        <v>64.29</v>
      </c>
      <c r="X1001" s="34" t="s">
        <v>54</v>
      </c>
      <c r="Y1001" s="33">
        <v>128.58</v>
      </c>
      <c r="AC1001" s="28">
        <v>64.29</v>
      </c>
      <c r="AD1001" s="34" t="s">
        <v>54</v>
      </c>
      <c r="AE1001" s="33">
        <v>128.58</v>
      </c>
      <c r="AN1001" s="7" t="s">
        <v>54</v>
      </c>
      <c r="AO1001" s="7" t="s">
        <v>55</v>
      </c>
      <c r="AP1001" s="7" t="s">
        <v>56</v>
      </c>
      <c r="AT1001" s="47" t="s">
        <v>57</v>
      </c>
      <c r="AU1001" s="47" t="s">
        <v>57</v>
      </c>
    </row>
    <row r="1002" spans="1:47">
      <c r="A1002" s="4" t="s">
        <v>48</v>
      </c>
      <c r="C1002" s="21"/>
      <c r="D1002" s="22" t="s">
        <v>49</v>
      </c>
      <c r="G1002" s="23">
        <v>45084</v>
      </c>
      <c r="H1002" s="24" t="s">
        <v>3015</v>
      </c>
      <c r="J1002" s="28" t="s">
        <v>51</v>
      </c>
      <c r="L1002" s="24" t="s">
        <v>2279</v>
      </c>
      <c r="M1002" s="1" t="str">
        <f>"131082197410278512"</f>
        <v>131082197410278512</v>
      </c>
      <c r="N1002" s="24" t="s">
        <v>2279</v>
      </c>
      <c r="O1002" s="1" t="str">
        <f>"131082197410278512"</f>
        <v>131082197410278512</v>
      </c>
      <c r="P1002" s="23" t="s">
        <v>3016</v>
      </c>
      <c r="Q1002" s="23">
        <v>45085</v>
      </c>
      <c r="R1002" s="32">
        <v>45451</v>
      </c>
      <c r="V1002" s="33">
        <v>200</v>
      </c>
      <c r="W1002" s="28">
        <v>64.29</v>
      </c>
      <c r="X1002" s="34" t="s">
        <v>54</v>
      </c>
      <c r="Y1002" s="33">
        <v>128.58</v>
      </c>
      <c r="AC1002" s="28">
        <v>64.29</v>
      </c>
      <c r="AD1002" s="34" t="s">
        <v>54</v>
      </c>
      <c r="AE1002" s="33">
        <v>128.58</v>
      </c>
      <c r="AN1002" s="7" t="s">
        <v>54</v>
      </c>
      <c r="AO1002" s="7" t="s">
        <v>55</v>
      </c>
      <c r="AP1002" s="7" t="s">
        <v>56</v>
      </c>
      <c r="AT1002" s="47" t="s">
        <v>57</v>
      </c>
      <c r="AU1002" s="47" t="s">
        <v>57</v>
      </c>
    </row>
    <row r="1003" spans="1:47">
      <c r="A1003" s="4" t="s">
        <v>48</v>
      </c>
      <c r="C1003" s="21"/>
      <c r="D1003" s="22" t="s">
        <v>49</v>
      </c>
      <c r="G1003" s="23">
        <v>45102</v>
      </c>
      <c r="H1003" s="24" t="s">
        <v>3017</v>
      </c>
      <c r="J1003" s="28" t="s">
        <v>51</v>
      </c>
      <c r="L1003" s="24" t="s">
        <v>3018</v>
      </c>
      <c r="M1003" s="1" t="str">
        <f>"34210119640908086X"</f>
        <v>34210119640908086X</v>
      </c>
      <c r="N1003" s="24" t="s">
        <v>3018</v>
      </c>
      <c r="O1003" s="1" t="str">
        <f>"34210119640908086X"</f>
        <v>34210119640908086X</v>
      </c>
      <c r="P1003" s="23" t="s">
        <v>3019</v>
      </c>
      <c r="Q1003" s="23">
        <v>45103</v>
      </c>
      <c r="R1003" s="32">
        <v>45469</v>
      </c>
      <c r="V1003" s="33">
        <v>100</v>
      </c>
      <c r="W1003" s="28">
        <v>64.29</v>
      </c>
      <c r="X1003" s="34" t="s">
        <v>54</v>
      </c>
      <c r="Y1003" s="33">
        <v>64.29</v>
      </c>
      <c r="AC1003" s="28">
        <v>64.29</v>
      </c>
      <c r="AD1003" s="34" t="s">
        <v>54</v>
      </c>
      <c r="AE1003" s="33">
        <v>64.29</v>
      </c>
      <c r="AN1003" s="7" t="s">
        <v>54</v>
      </c>
      <c r="AO1003" s="7" t="s">
        <v>55</v>
      </c>
      <c r="AP1003" s="7" t="s">
        <v>56</v>
      </c>
      <c r="AT1003" s="47" t="s">
        <v>57</v>
      </c>
      <c r="AU1003" s="47" t="s">
        <v>57</v>
      </c>
    </row>
    <row r="1004" spans="1:47">
      <c r="A1004" s="4" t="s">
        <v>48</v>
      </c>
      <c r="C1004" s="21"/>
      <c r="D1004" s="22" t="s">
        <v>49</v>
      </c>
      <c r="G1004" s="23">
        <v>45102</v>
      </c>
      <c r="H1004" s="24" t="s">
        <v>3020</v>
      </c>
      <c r="J1004" s="28" t="s">
        <v>51</v>
      </c>
      <c r="L1004" s="24" t="s">
        <v>3021</v>
      </c>
      <c r="M1004" s="1" t="str">
        <f>"342101197710238464"</f>
        <v>342101197710238464</v>
      </c>
      <c r="N1004" s="24" t="s">
        <v>3021</v>
      </c>
      <c r="O1004" s="1" t="str">
        <f>"342101197710238464"</f>
        <v>342101197710238464</v>
      </c>
      <c r="P1004" s="23" t="s">
        <v>3022</v>
      </c>
      <c r="Q1004" s="23">
        <v>45103</v>
      </c>
      <c r="R1004" s="32">
        <v>45469</v>
      </c>
      <c r="V1004" s="33">
        <v>100</v>
      </c>
      <c r="W1004" s="28">
        <v>64.29</v>
      </c>
      <c r="X1004" s="34" t="s">
        <v>54</v>
      </c>
      <c r="Y1004" s="33">
        <v>64.29</v>
      </c>
      <c r="AC1004" s="28">
        <v>64.29</v>
      </c>
      <c r="AD1004" s="34" t="s">
        <v>54</v>
      </c>
      <c r="AE1004" s="33">
        <v>64.29</v>
      </c>
      <c r="AN1004" s="7" t="s">
        <v>54</v>
      </c>
      <c r="AO1004" s="7" t="s">
        <v>55</v>
      </c>
      <c r="AP1004" s="7" t="s">
        <v>56</v>
      </c>
      <c r="AT1004" s="47" t="s">
        <v>57</v>
      </c>
      <c r="AU1004" s="47" t="s">
        <v>57</v>
      </c>
    </row>
    <row r="1005" spans="1:47">
      <c r="A1005" s="4" t="s">
        <v>48</v>
      </c>
      <c r="C1005" s="21"/>
      <c r="D1005" s="22" t="s">
        <v>49</v>
      </c>
      <c r="G1005" s="23">
        <v>45102</v>
      </c>
      <c r="H1005" s="24" t="s">
        <v>3023</v>
      </c>
      <c r="J1005" s="28" t="s">
        <v>51</v>
      </c>
      <c r="L1005" s="24" t="s">
        <v>3024</v>
      </c>
      <c r="M1005" s="1" t="str">
        <f>"342101198008107661"</f>
        <v>342101198008107661</v>
      </c>
      <c r="N1005" s="24" t="s">
        <v>3024</v>
      </c>
      <c r="O1005" s="1" t="str">
        <f>"342101198008107661"</f>
        <v>342101198008107661</v>
      </c>
      <c r="P1005" s="23" t="s">
        <v>3025</v>
      </c>
      <c r="Q1005" s="23">
        <v>45103</v>
      </c>
      <c r="R1005" s="32">
        <v>45469</v>
      </c>
      <c r="V1005" s="33">
        <v>100</v>
      </c>
      <c r="W1005" s="28">
        <v>64.29</v>
      </c>
      <c r="X1005" s="34" t="s">
        <v>54</v>
      </c>
      <c r="Y1005" s="33">
        <v>64.29</v>
      </c>
      <c r="AC1005" s="28">
        <v>64.29</v>
      </c>
      <c r="AD1005" s="34" t="s">
        <v>54</v>
      </c>
      <c r="AE1005" s="33">
        <v>64.29</v>
      </c>
      <c r="AN1005" s="7" t="s">
        <v>54</v>
      </c>
      <c r="AO1005" s="7" t="s">
        <v>55</v>
      </c>
      <c r="AP1005" s="7" t="s">
        <v>56</v>
      </c>
      <c r="AT1005" s="47" t="s">
        <v>57</v>
      </c>
      <c r="AU1005" s="47" t="s">
        <v>57</v>
      </c>
    </row>
    <row r="1006" spans="1:47">
      <c r="A1006" s="4" t="s">
        <v>48</v>
      </c>
      <c r="C1006" s="21"/>
      <c r="D1006" s="22" t="s">
        <v>49</v>
      </c>
      <c r="G1006" s="23">
        <v>45091</v>
      </c>
      <c r="H1006" s="24" t="s">
        <v>3026</v>
      </c>
      <c r="J1006" s="28" t="s">
        <v>51</v>
      </c>
      <c r="L1006" s="24" t="s">
        <v>3027</v>
      </c>
      <c r="M1006" s="1" t="str">
        <f>"342101197405210828"</f>
        <v>342101197405210828</v>
      </c>
      <c r="N1006" s="24" t="s">
        <v>3027</v>
      </c>
      <c r="O1006" s="1" t="str">
        <f>"342101197405210828"</f>
        <v>342101197405210828</v>
      </c>
      <c r="P1006" s="23" t="s">
        <v>3028</v>
      </c>
      <c r="Q1006" s="23">
        <v>45092</v>
      </c>
      <c r="R1006" s="32">
        <v>45458</v>
      </c>
      <c r="V1006" s="33">
        <v>100</v>
      </c>
      <c r="W1006" s="28">
        <v>64.29</v>
      </c>
      <c r="X1006" s="34" t="s">
        <v>54</v>
      </c>
      <c r="Y1006" s="33">
        <v>64.29</v>
      </c>
      <c r="AC1006" s="28">
        <v>64.29</v>
      </c>
      <c r="AD1006" s="34" t="s">
        <v>54</v>
      </c>
      <c r="AE1006" s="33">
        <v>64.29</v>
      </c>
      <c r="AN1006" s="7" t="s">
        <v>54</v>
      </c>
      <c r="AO1006" s="7" t="s">
        <v>55</v>
      </c>
      <c r="AP1006" s="7" t="s">
        <v>56</v>
      </c>
      <c r="AT1006" s="47" t="s">
        <v>57</v>
      </c>
      <c r="AU1006" s="47" t="s">
        <v>57</v>
      </c>
    </row>
    <row r="1007" spans="1:47">
      <c r="A1007" s="4" t="s">
        <v>48</v>
      </c>
      <c r="C1007" s="21"/>
      <c r="D1007" s="22" t="s">
        <v>49</v>
      </c>
      <c r="G1007" s="23">
        <v>45092</v>
      </c>
      <c r="H1007" s="24" t="s">
        <v>3029</v>
      </c>
      <c r="J1007" s="28" t="s">
        <v>51</v>
      </c>
      <c r="L1007" s="24" t="s">
        <v>3030</v>
      </c>
      <c r="M1007" s="1" t="str">
        <f>"131082197607028517"</f>
        <v>131082197607028517</v>
      </c>
      <c r="N1007" s="24" t="s">
        <v>3030</v>
      </c>
      <c r="O1007" s="1" t="str">
        <f>"131082197607028517"</f>
        <v>131082197607028517</v>
      </c>
      <c r="P1007" s="23" t="s">
        <v>3031</v>
      </c>
      <c r="Q1007" s="23">
        <v>45093</v>
      </c>
      <c r="R1007" s="32">
        <v>45459</v>
      </c>
      <c r="V1007" s="33">
        <v>100</v>
      </c>
      <c r="W1007" s="28">
        <v>64.29</v>
      </c>
      <c r="X1007" s="34" t="s">
        <v>54</v>
      </c>
      <c r="Y1007" s="33">
        <v>64.29</v>
      </c>
      <c r="AC1007" s="28">
        <v>64.29</v>
      </c>
      <c r="AD1007" s="34" t="s">
        <v>54</v>
      </c>
      <c r="AE1007" s="33">
        <v>64.29</v>
      </c>
      <c r="AN1007" s="7" t="s">
        <v>54</v>
      </c>
      <c r="AO1007" s="7" t="s">
        <v>55</v>
      </c>
      <c r="AP1007" s="7" t="s">
        <v>56</v>
      </c>
      <c r="AT1007" s="47" t="s">
        <v>57</v>
      </c>
      <c r="AU1007" s="47" t="s">
        <v>57</v>
      </c>
    </row>
    <row r="1008" spans="1:47">
      <c r="A1008" s="4" t="s">
        <v>48</v>
      </c>
      <c r="C1008" s="21"/>
      <c r="D1008" s="22" t="s">
        <v>49</v>
      </c>
      <c r="G1008" s="23">
        <v>45082</v>
      </c>
      <c r="H1008" s="24" t="s">
        <v>3032</v>
      </c>
      <c r="J1008" s="28" t="s">
        <v>51</v>
      </c>
      <c r="L1008" s="24" t="s">
        <v>1561</v>
      </c>
      <c r="M1008" s="1" t="str">
        <f>"132821194906248278"</f>
        <v>132821194906248278</v>
      </c>
      <c r="N1008" s="24" t="s">
        <v>1561</v>
      </c>
      <c r="O1008" s="1" t="str">
        <f>"132821194906248278"</f>
        <v>132821194906248278</v>
      </c>
      <c r="P1008" s="23" t="s">
        <v>3033</v>
      </c>
      <c r="Q1008" s="23">
        <v>45175</v>
      </c>
      <c r="R1008" s="32">
        <v>45541</v>
      </c>
      <c r="V1008" s="33">
        <v>100</v>
      </c>
      <c r="W1008" s="28">
        <v>64.29</v>
      </c>
      <c r="X1008" s="34" t="s">
        <v>54</v>
      </c>
      <c r="Y1008" s="33">
        <v>64.29</v>
      </c>
      <c r="AC1008" s="28">
        <v>64.29</v>
      </c>
      <c r="AD1008" s="34" t="s">
        <v>54</v>
      </c>
      <c r="AE1008" s="33">
        <v>64.29</v>
      </c>
      <c r="AN1008" s="7" t="s">
        <v>54</v>
      </c>
      <c r="AO1008" s="7" t="s">
        <v>55</v>
      </c>
      <c r="AP1008" s="7" t="s">
        <v>56</v>
      </c>
      <c r="AT1008" s="47" t="s">
        <v>57</v>
      </c>
      <c r="AU1008" s="47" t="s">
        <v>57</v>
      </c>
    </row>
    <row r="1009" spans="1:47">
      <c r="A1009" s="4" t="s">
        <v>48</v>
      </c>
      <c r="C1009" s="21"/>
      <c r="D1009" s="22" t="s">
        <v>49</v>
      </c>
      <c r="G1009" s="23">
        <v>45079</v>
      </c>
      <c r="H1009" s="24" t="s">
        <v>3034</v>
      </c>
      <c r="J1009" s="28" t="s">
        <v>51</v>
      </c>
      <c r="L1009" s="24" t="s">
        <v>3035</v>
      </c>
      <c r="M1009" s="1" t="str">
        <f>"341202198606151516"</f>
        <v>341202198606151516</v>
      </c>
      <c r="N1009" s="24" t="s">
        <v>3035</v>
      </c>
      <c r="O1009" s="1" t="str">
        <f>"341202198606151516"</f>
        <v>341202198606151516</v>
      </c>
      <c r="P1009" s="23" t="s">
        <v>3036</v>
      </c>
      <c r="Q1009" s="23">
        <v>45080</v>
      </c>
      <c r="R1009" s="32">
        <v>45446</v>
      </c>
      <c r="V1009" s="33">
        <v>100</v>
      </c>
      <c r="W1009" s="28">
        <v>64.29</v>
      </c>
      <c r="X1009" s="34" t="s">
        <v>54</v>
      </c>
      <c r="Y1009" s="33">
        <v>64.29</v>
      </c>
      <c r="AC1009" s="28">
        <v>64.29</v>
      </c>
      <c r="AD1009" s="34" t="s">
        <v>54</v>
      </c>
      <c r="AE1009" s="33">
        <v>64.29</v>
      </c>
      <c r="AN1009" s="7" t="s">
        <v>54</v>
      </c>
      <c r="AO1009" s="7" t="s">
        <v>55</v>
      </c>
      <c r="AP1009" s="7" t="s">
        <v>56</v>
      </c>
      <c r="AT1009" s="47" t="s">
        <v>57</v>
      </c>
      <c r="AU1009" s="47" t="s">
        <v>57</v>
      </c>
    </row>
    <row r="1010" spans="1:47">
      <c r="A1010" s="4" t="s">
        <v>48</v>
      </c>
      <c r="C1010" s="21"/>
      <c r="D1010" s="22" t="s">
        <v>49</v>
      </c>
      <c r="G1010" s="23">
        <v>45082</v>
      </c>
      <c r="H1010" s="24" t="s">
        <v>3037</v>
      </c>
      <c r="J1010" s="28" t="s">
        <v>51</v>
      </c>
      <c r="L1010" s="24" t="s">
        <v>3038</v>
      </c>
      <c r="M1010" s="1" t="str">
        <f>"341222199605154715"</f>
        <v>341222199605154715</v>
      </c>
      <c r="N1010" s="24" t="s">
        <v>3038</v>
      </c>
      <c r="O1010" s="1" t="str">
        <f>"341222199605154715"</f>
        <v>341222199605154715</v>
      </c>
      <c r="P1010" s="23" t="s">
        <v>3039</v>
      </c>
      <c r="Q1010" s="23">
        <v>45175</v>
      </c>
      <c r="R1010" s="32">
        <v>45541</v>
      </c>
      <c r="V1010" s="33">
        <v>100</v>
      </c>
      <c r="W1010" s="28">
        <v>64.29</v>
      </c>
      <c r="X1010" s="34" t="s">
        <v>54</v>
      </c>
      <c r="Y1010" s="33">
        <v>64.29</v>
      </c>
      <c r="AC1010" s="28">
        <v>64.29</v>
      </c>
      <c r="AD1010" s="34" t="s">
        <v>54</v>
      </c>
      <c r="AE1010" s="33">
        <v>64.29</v>
      </c>
      <c r="AN1010" s="7" t="s">
        <v>54</v>
      </c>
      <c r="AO1010" s="7" t="s">
        <v>55</v>
      </c>
      <c r="AP1010" s="7" t="s">
        <v>56</v>
      </c>
      <c r="AT1010" s="47" t="s">
        <v>57</v>
      </c>
      <c r="AU1010" s="47" t="s">
        <v>57</v>
      </c>
    </row>
    <row r="1011" spans="1:47">
      <c r="A1011" s="4" t="s">
        <v>48</v>
      </c>
      <c r="C1011" s="21"/>
      <c r="D1011" s="22" t="s">
        <v>49</v>
      </c>
      <c r="G1011" s="23">
        <v>45084</v>
      </c>
      <c r="H1011" s="24" t="s">
        <v>3040</v>
      </c>
      <c r="J1011" s="28" t="s">
        <v>51</v>
      </c>
      <c r="L1011" s="24" t="s">
        <v>3041</v>
      </c>
      <c r="M1011" s="1" t="str">
        <f>"341203198911240028"</f>
        <v>341203198911240028</v>
      </c>
      <c r="N1011" s="24" t="s">
        <v>3041</v>
      </c>
      <c r="O1011" s="1" t="str">
        <f>"341203198911240028"</f>
        <v>341203198911240028</v>
      </c>
      <c r="P1011" s="23" t="s">
        <v>3042</v>
      </c>
      <c r="Q1011" s="23">
        <v>45085</v>
      </c>
      <c r="R1011" s="32">
        <v>45451</v>
      </c>
      <c r="V1011" s="33">
        <v>200</v>
      </c>
      <c r="W1011" s="28">
        <v>64.29</v>
      </c>
      <c r="X1011" s="34" t="s">
        <v>54</v>
      </c>
      <c r="Y1011" s="33">
        <v>128.58</v>
      </c>
      <c r="AC1011" s="28">
        <v>64.29</v>
      </c>
      <c r="AD1011" s="34" t="s">
        <v>54</v>
      </c>
      <c r="AE1011" s="33">
        <v>128.58</v>
      </c>
      <c r="AN1011" s="7" t="s">
        <v>54</v>
      </c>
      <c r="AO1011" s="7" t="s">
        <v>55</v>
      </c>
      <c r="AP1011" s="7" t="s">
        <v>56</v>
      </c>
      <c r="AT1011" s="47" t="s">
        <v>57</v>
      </c>
      <c r="AU1011" s="47" t="s">
        <v>57</v>
      </c>
    </row>
    <row r="1012" spans="1:47">
      <c r="A1012" s="4" t="s">
        <v>48</v>
      </c>
      <c r="C1012" s="21"/>
      <c r="D1012" s="22" t="s">
        <v>49</v>
      </c>
      <c r="G1012" s="23">
        <v>45084</v>
      </c>
      <c r="H1012" s="24" t="s">
        <v>3043</v>
      </c>
      <c r="J1012" s="28" t="s">
        <v>51</v>
      </c>
      <c r="L1012" s="24" t="s">
        <v>2279</v>
      </c>
      <c r="M1012" s="1" t="str">
        <f>"131082199108230517"</f>
        <v>131082199108230517</v>
      </c>
      <c r="N1012" s="24" t="s">
        <v>2279</v>
      </c>
      <c r="O1012" s="1" t="str">
        <f>"131082199108230517"</f>
        <v>131082199108230517</v>
      </c>
      <c r="P1012" s="23" t="s">
        <v>3044</v>
      </c>
      <c r="Q1012" s="23">
        <v>45170</v>
      </c>
      <c r="R1012" s="32">
        <v>45536</v>
      </c>
      <c r="V1012" s="33">
        <v>200</v>
      </c>
      <c r="W1012" s="28">
        <v>64.29</v>
      </c>
      <c r="X1012" s="34" t="s">
        <v>54</v>
      </c>
      <c r="Y1012" s="33">
        <v>128.58</v>
      </c>
      <c r="AC1012" s="28">
        <v>64.29</v>
      </c>
      <c r="AD1012" s="34" t="s">
        <v>54</v>
      </c>
      <c r="AE1012" s="33">
        <v>128.58</v>
      </c>
      <c r="AN1012" s="7" t="s">
        <v>54</v>
      </c>
      <c r="AO1012" s="7" t="s">
        <v>55</v>
      </c>
      <c r="AP1012" s="7" t="s">
        <v>56</v>
      </c>
      <c r="AT1012" s="47" t="s">
        <v>57</v>
      </c>
      <c r="AU1012" s="47" t="s">
        <v>57</v>
      </c>
    </row>
    <row r="1013" spans="1:47">
      <c r="A1013" s="4" t="s">
        <v>48</v>
      </c>
      <c r="C1013" s="21"/>
      <c r="D1013" s="22" t="s">
        <v>49</v>
      </c>
      <c r="G1013" s="23">
        <v>45084</v>
      </c>
      <c r="H1013" s="24" t="s">
        <v>3045</v>
      </c>
      <c r="J1013" s="28" t="s">
        <v>51</v>
      </c>
      <c r="L1013" s="24" t="s">
        <v>3046</v>
      </c>
      <c r="M1013" s="1" t="str">
        <f>"34122119951130929X"</f>
        <v>34122119951130929X</v>
      </c>
      <c r="N1013" s="24" t="s">
        <v>3046</v>
      </c>
      <c r="O1013" s="1" t="str">
        <f>"34122119951130929X"</f>
        <v>34122119951130929X</v>
      </c>
      <c r="P1013" s="23" t="s">
        <v>3047</v>
      </c>
      <c r="Q1013" s="23">
        <v>45291</v>
      </c>
      <c r="R1013" s="32">
        <v>45657</v>
      </c>
      <c r="V1013" s="33">
        <v>200</v>
      </c>
      <c r="W1013" s="28">
        <v>64.29</v>
      </c>
      <c r="X1013" s="34" t="s">
        <v>54</v>
      </c>
      <c r="Y1013" s="33">
        <v>128.58</v>
      </c>
      <c r="AC1013" s="28">
        <v>64.29</v>
      </c>
      <c r="AD1013" s="34" t="s">
        <v>54</v>
      </c>
      <c r="AE1013" s="33">
        <v>128.58</v>
      </c>
      <c r="AN1013" s="7" t="s">
        <v>54</v>
      </c>
      <c r="AO1013" s="7" t="s">
        <v>55</v>
      </c>
      <c r="AP1013" s="7" t="s">
        <v>56</v>
      </c>
      <c r="AT1013" s="47" t="s">
        <v>57</v>
      </c>
      <c r="AU1013" s="47" t="s">
        <v>57</v>
      </c>
    </row>
    <row r="1014" spans="1:47">
      <c r="A1014" s="4" t="s">
        <v>48</v>
      </c>
      <c r="C1014" s="21"/>
      <c r="D1014" s="22" t="s">
        <v>49</v>
      </c>
      <c r="G1014" s="23">
        <v>45084</v>
      </c>
      <c r="H1014" s="24" t="s">
        <v>3048</v>
      </c>
      <c r="J1014" s="28" t="s">
        <v>51</v>
      </c>
      <c r="L1014" s="24" t="s">
        <v>2279</v>
      </c>
      <c r="M1014" s="1" t="str">
        <f>"341282199203026119"</f>
        <v>341282199203026119</v>
      </c>
      <c r="N1014" s="24" t="s">
        <v>2279</v>
      </c>
      <c r="O1014" s="1" t="str">
        <f>"341282199203026119"</f>
        <v>341282199203026119</v>
      </c>
      <c r="P1014" s="23" t="s">
        <v>3049</v>
      </c>
      <c r="Q1014" s="23">
        <v>45085</v>
      </c>
      <c r="R1014" s="32">
        <v>45451</v>
      </c>
      <c r="V1014" s="33">
        <v>200</v>
      </c>
      <c r="W1014" s="28">
        <v>64.29</v>
      </c>
      <c r="X1014" s="34" t="s">
        <v>54</v>
      </c>
      <c r="Y1014" s="33">
        <v>128.58</v>
      </c>
      <c r="AC1014" s="28">
        <v>64.29</v>
      </c>
      <c r="AD1014" s="34" t="s">
        <v>54</v>
      </c>
      <c r="AE1014" s="33">
        <v>128.58</v>
      </c>
      <c r="AN1014" s="7" t="s">
        <v>54</v>
      </c>
      <c r="AO1014" s="7" t="s">
        <v>55</v>
      </c>
      <c r="AP1014" s="7" t="s">
        <v>56</v>
      </c>
      <c r="AT1014" s="47" t="s">
        <v>57</v>
      </c>
      <c r="AU1014" s="47" t="s">
        <v>57</v>
      </c>
    </row>
    <row r="1015" spans="1:47">
      <c r="A1015" s="4" t="s">
        <v>48</v>
      </c>
      <c r="C1015" s="21"/>
      <c r="D1015" s="22" t="s">
        <v>49</v>
      </c>
      <c r="G1015" s="23">
        <v>45079</v>
      </c>
      <c r="H1015" s="24" t="s">
        <v>3050</v>
      </c>
      <c r="J1015" s="28" t="s">
        <v>51</v>
      </c>
      <c r="L1015" s="24" t="s">
        <v>3051</v>
      </c>
      <c r="M1015" s="1" t="str">
        <f>"130629197412010085"</f>
        <v>130629197412010085</v>
      </c>
      <c r="N1015" s="24" t="s">
        <v>3051</v>
      </c>
      <c r="O1015" s="1" t="str">
        <f>"130629197412010085"</f>
        <v>130629197412010085</v>
      </c>
      <c r="P1015" s="23" t="s">
        <v>3052</v>
      </c>
      <c r="Q1015" s="23">
        <v>45080</v>
      </c>
      <c r="R1015" s="32">
        <v>45446</v>
      </c>
      <c r="V1015" s="33">
        <v>200</v>
      </c>
      <c r="W1015" s="28">
        <v>64.29</v>
      </c>
      <c r="X1015" s="34" t="s">
        <v>54</v>
      </c>
      <c r="Y1015" s="33">
        <v>128.58</v>
      </c>
      <c r="AC1015" s="28">
        <v>64.29</v>
      </c>
      <c r="AD1015" s="34" t="s">
        <v>54</v>
      </c>
      <c r="AE1015" s="33">
        <v>128.58</v>
      </c>
      <c r="AN1015" s="7" t="s">
        <v>54</v>
      </c>
      <c r="AO1015" s="7" t="s">
        <v>55</v>
      </c>
      <c r="AP1015" s="7" t="s">
        <v>56</v>
      </c>
      <c r="AT1015" s="47" t="s">
        <v>57</v>
      </c>
      <c r="AU1015" s="47" t="s">
        <v>57</v>
      </c>
    </row>
    <row r="1016" spans="1:47">
      <c r="A1016" s="4" t="s">
        <v>48</v>
      </c>
      <c r="C1016" s="21"/>
      <c r="D1016" s="22" t="s">
        <v>49</v>
      </c>
      <c r="G1016" s="23">
        <v>45102</v>
      </c>
      <c r="H1016" s="24" t="s">
        <v>3053</v>
      </c>
      <c r="J1016" s="28" t="s">
        <v>51</v>
      </c>
      <c r="L1016" s="24" t="s">
        <v>3054</v>
      </c>
      <c r="M1016" s="1" t="str">
        <f>"131082199108230517"</f>
        <v>131082199108230517</v>
      </c>
      <c r="N1016" s="24" t="s">
        <v>3054</v>
      </c>
      <c r="O1016" s="1" t="str">
        <f>"131082199108230517"</f>
        <v>131082199108230517</v>
      </c>
      <c r="P1016" s="23" t="s">
        <v>3044</v>
      </c>
      <c r="Q1016" s="23">
        <v>45103</v>
      </c>
      <c r="R1016" s="32">
        <v>45469</v>
      </c>
      <c r="V1016" s="33">
        <v>50</v>
      </c>
      <c r="W1016" s="28">
        <v>64.29</v>
      </c>
      <c r="X1016" s="34" t="s">
        <v>54</v>
      </c>
      <c r="Y1016" s="33">
        <v>32.15</v>
      </c>
      <c r="AC1016" s="28">
        <v>64.29</v>
      </c>
      <c r="AD1016" s="34" t="s">
        <v>54</v>
      </c>
      <c r="AE1016" s="33">
        <v>32.15</v>
      </c>
      <c r="AN1016" s="7" t="s">
        <v>54</v>
      </c>
      <c r="AO1016" s="7" t="s">
        <v>55</v>
      </c>
      <c r="AP1016" s="7" t="s">
        <v>56</v>
      </c>
      <c r="AT1016" s="47" t="s">
        <v>57</v>
      </c>
      <c r="AU1016" s="47" t="s">
        <v>57</v>
      </c>
    </row>
    <row r="1017" spans="1:47">
      <c r="A1017" s="4" t="s">
        <v>48</v>
      </c>
      <c r="C1017" s="21"/>
      <c r="D1017" s="22" t="s">
        <v>49</v>
      </c>
      <c r="G1017" s="23">
        <v>45102</v>
      </c>
      <c r="H1017" s="24" t="s">
        <v>3055</v>
      </c>
      <c r="J1017" s="28" t="s">
        <v>51</v>
      </c>
      <c r="L1017" s="24" t="s">
        <v>3056</v>
      </c>
      <c r="M1017" s="1" t="str">
        <f>"342122198201042320"</f>
        <v>342122198201042320</v>
      </c>
      <c r="N1017" s="24" t="s">
        <v>3056</v>
      </c>
      <c r="O1017" s="1" t="str">
        <f>"342122198201042320"</f>
        <v>342122198201042320</v>
      </c>
      <c r="P1017" s="23" t="s">
        <v>3057</v>
      </c>
      <c r="Q1017" s="23">
        <v>45103</v>
      </c>
      <c r="R1017" s="32">
        <v>45469</v>
      </c>
      <c r="V1017" s="33">
        <v>100</v>
      </c>
      <c r="W1017" s="28">
        <v>64.29</v>
      </c>
      <c r="X1017" s="34" t="s">
        <v>54</v>
      </c>
      <c r="Y1017" s="33">
        <v>64.29</v>
      </c>
      <c r="AC1017" s="28">
        <v>64.29</v>
      </c>
      <c r="AD1017" s="34" t="s">
        <v>54</v>
      </c>
      <c r="AE1017" s="33">
        <v>64.29</v>
      </c>
      <c r="AN1017" s="7" t="s">
        <v>54</v>
      </c>
      <c r="AO1017" s="7" t="s">
        <v>55</v>
      </c>
      <c r="AP1017" s="7" t="s">
        <v>56</v>
      </c>
      <c r="AT1017" s="47" t="s">
        <v>57</v>
      </c>
      <c r="AU1017" s="47" t="s">
        <v>57</v>
      </c>
    </row>
    <row r="1018" spans="1:47">
      <c r="A1018" s="4" t="s">
        <v>48</v>
      </c>
      <c r="C1018" s="21"/>
      <c r="D1018" s="22" t="s">
        <v>49</v>
      </c>
      <c r="G1018" s="23">
        <v>45102</v>
      </c>
      <c r="H1018" s="24" t="s">
        <v>3058</v>
      </c>
      <c r="J1018" s="28" t="s">
        <v>51</v>
      </c>
      <c r="L1018" s="24" t="s">
        <v>3059</v>
      </c>
      <c r="M1018" s="1" t="str">
        <f>"341221198710010448"</f>
        <v>341221198710010448</v>
      </c>
      <c r="N1018" s="24" t="s">
        <v>3059</v>
      </c>
      <c r="O1018" s="1" t="str">
        <f>"341221198710010448"</f>
        <v>341221198710010448</v>
      </c>
      <c r="P1018" s="23" t="s">
        <v>3060</v>
      </c>
      <c r="Q1018" s="23">
        <v>45103</v>
      </c>
      <c r="R1018" s="32">
        <v>45469</v>
      </c>
      <c r="V1018" s="33">
        <v>100</v>
      </c>
      <c r="W1018" s="28">
        <v>64.29</v>
      </c>
      <c r="X1018" s="34" t="s">
        <v>54</v>
      </c>
      <c r="Y1018" s="33">
        <v>64.29</v>
      </c>
      <c r="AC1018" s="28">
        <v>64.29</v>
      </c>
      <c r="AD1018" s="34" t="s">
        <v>54</v>
      </c>
      <c r="AE1018" s="33">
        <v>64.29</v>
      </c>
      <c r="AN1018" s="7" t="s">
        <v>54</v>
      </c>
      <c r="AO1018" s="7" t="s">
        <v>55</v>
      </c>
      <c r="AP1018" s="7" t="s">
        <v>56</v>
      </c>
      <c r="AT1018" s="47" t="s">
        <v>57</v>
      </c>
      <c r="AU1018" s="47" t="s">
        <v>57</v>
      </c>
    </row>
    <row r="1019" spans="1:47">
      <c r="A1019" s="4" t="s">
        <v>48</v>
      </c>
      <c r="C1019" s="21"/>
      <c r="D1019" s="22" t="s">
        <v>49</v>
      </c>
      <c r="G1019" s="23">
        <v>45102</v>
      </c>
      <c r="H1019" s="24" t="s">
        <v>3061</v>
      </c>
      <c r="J1019" s="28" t="s">
        <v>51</v>
      </c>
      <c r="L1019" s="24" t="s">
        <v>3062</v>
      </c>
      <c r="M1019" s="1" t="str">
        <f>"132821195312088275"</f>
        <v>132821195312088275</v>
      </c>
      <c r="N1019" s="24" t="s">
        <v>3062</v>
      </c>
      <c r="O1019" s="1" t="str">
        <f>"132821195312088275"</f>
        <v>132821195312088275</v>
      </c>
      <c r="P1019" s="23" t="s">
        <v>3063</v>
      </c>
      <c r="Q1019" s="23">
        <v>45103</v>
      </c>
      <c r="R1019" s="32">
        <v>45469</v>
      </c>
      <c r="V1019" s="33">
        <v>100</v>
      </c>
      <c r="W1019" s="28">
        <v>64.29</v>
      </c>
      <c r="X1019" s="34" t="s">
        <v>54</v>
      </c>
      <c r="Y1019" s="33">
        <v>64.29</v>
      </c>
      <c r="AC1019" s="28">
        <v>64.29</v>
      </c>
      <c r="AD1019" s="34" t="s">
        <v>54</v>
      </c>
      <c r="AE1019" s="33">
        <v>64.29</v>
      </c>
      <c r="AN1019" s="7" t="s">
        <v>54</v>
      </c>
      <c r="AO1019" s="7" t="s">
        <v>55</v>
      </c>
      <c r="AP1019" s="7" t="s">
        <v>56</v>
      </c>
      <c r="AT1019" s="47" t="s">
        <v>57</v>
      </c>
      <c r="AU1019" s="47" t="s">
        <v>57</v>
      </c>
    </row>
    <row r="1020" spans="1:47">
      <c r="A1020" s="4" t="s">
        <v>48</v>
      </c>
      <c r="C1020" s="21"/>
      <c r="D1020" s="22" t="s">
        <v>49</v>
      </c>
      <c r="G1020" s="23">
        <v>45102</v>
      </c>
      <c r="H1020" s="24" t="s">
        <v>3064</v>
      </c>
      <c r="J1020" s="28" t="s">
        <v>51</v>
      </c>
      <c r="L1020" s="24" t="s">
        <v>3065</v>
      </c>
      <c r="M1020" s="1" t="str">
        <f>"130684200309054775"</f>
        <v>130684200309054775</v>
      </c>
      <c r="N1020" s="24" t="s">
        <v>3065</v>
      </c>
      <c r="O1020" s="1" t="str">
        <f>"130684200309054775"</f>
        <v>130684200309054775</v>
      </c>
      <c r="P1020" s="23" t="s">
        <v>3066</v>
      </c>
      <c r="Q1020" s="23">
        <v>45103</v>
      </c>
      <c r="R1020" s="32">
        <v>45469</v>
      </c>
      <c r="V1020" s="33">
        <v>100</v>
      </c>
      <c r="W1020" s="28">
        <v>64.29</v>
      </c>
      <c r="X1020" s="34" t="s">
        <v>54</v>
      </c>
      <c r="Y1020" s="33">
        <v>64.29</v>
      </c>
      <c r="AC1020" s="28">
        <v>64.29</v>
      </c>
      <c r="AD1020" s="34" t="s">
        <v>54</v>
      </c>
      <c r="AE1020" s="33">
        <v>64.29</v>
      </c>
      <c r="AN1020" s="7" t="s">
        <v>54</v>
      </c>
      <c r="AO1020" s="7" t="s">
        <v>55</v>
      </c>
      <c r="AP1020" s="7" t="s">
        <v>56</v>
      </c>
      <c r="AT1020" s="47" t="s">
        <v>57</v>
      </c>
      <c r="AU1020" s="47" t="s">
        <v>57</v>
      </c>
    </row>
    <row r="1021" spans="1:47">
      <c r="A1021" s="4" t="s">
        <v>48</v>
      </c>
      <c r="C1021" s="21"/>
      <c r="D1021" s="22" t="s">
        <v>49</v>
      </c>
      <c r="G1021" s="23">
        <v>45101</v>
      </c>
      <c r="H1021" s="24" t="s">
        <v>3067</v>
      </c>
      <c r="J1021" s="28" t="s">
        <v>51</v>
      </c>
      <c r="L1021" s="24" t="s">
        <v>3068</v>
      </c>
      <c r="M1021" s="1" t="str">
        <f>"131082197404108314"</f>
        <v>131082197404108314</v>
      </c>
      <c r="N1021" s="24" t="s">
        <v>3068</v>
      </c>
      <c r="O1021" s="1" t="str">
        <f>"131082197404108314"</f>
        <v>131082197404108314</v>
      </c>
      <c r="P1021" s="23" t="s">
        <v>3063</v>
      </c>
      <c r="Q1021" s="23">
        <v>45102</v>
      </c>
      <c r="R1021" s="32">
        <v>45468</v>
      </c>
      <c r="V1021" s="33">
        <v>100</v>
      </c>
      <c r="W1021" s="28">
        <v>64.29</v>
      </c>
      <c r="X1021" s="34" t="s">
        <v>54</v>
      </c>
      <c r="Y1021" s="33">
        <v>64.29</v>
      </c>
      <c r="AC1021" s="28">
        <v>64.29</v>
      </c>
      <c r="AD1021" s="34" t="s">
        <v>54</v>
      </c>
      <c r="AE1021" s="33">
        <v>64.29</v>
      </c>
      <c r="AN1021" s="7" t="s">
        <v>54</v>
      </c>
      <c r="AO1021" s="7" t="s">
        <v>55</v>
      </c>
      <c r="AP1021" s="7" t="s">
        <v>56</v>
      </c>
      <c r="AT1021" s="47" t="s">
        <v>57</v>
      </c>
      <c r="AU1021" s="47" t="s">
        <v>57</v>
      </c>
    </row>
    <row r="1022" spans="1:47">
      <c r="A1022" s="4" t="s">
        <v>48</v>
      </c>
      <c r="C1022" s="21"/>
      <c r="D1022" s="22" t="s">
        <v>49</v>
      </c>
      <c r="G1022" s="23">
        <v>45098</v>
      </c>
      <c r="H1022" s="24" t="s">
        <v>3069</v>
      </c>
      <c r="J1022" s="28" t="s">
        <v>51</v>
      </c>
      <c r="L1022" s="24" t="s">
        <v>3070</v>
      </c>
      <c r="M1022" s="1" t="str">
        <f>"130684199003083279"</f>
        <v>130684199003083279</v>
      </c>
      <c r="N1022" s="24" t="s">
        <v>3070</v>
      </c>
      <c r="O1022" s="1" t="str">
        <f>"130684199003083279"</f>
        <v>130684199003083279</v>
      </c>
      <c r="P1022" s="23" t="s">
        <v>3071</v>
      </c>
      <c r="Q1022" s="23">
        <v>45099</v>
      </c>
      <c r="R1022" s="32">
        <v>45465</v>
      </c>
      <c r="V1022" s="33">
        <v>100</v>
      </c>
      <c r="W1022" s="28">
        <v>64.29</v>
      </c>
      <c r="X1022" s="34" t="s">
        <v>54</v>
      </c>
      <c r="Y1022" s="33">
        <v>64.29</v>
      </c>
      <c r="AC1022" s="28">
        <v>64.29</v>
      </c>
      <c r="AD1022" s="34" t="s">
        <v>54</v>
      </c>
      <c r="AE1022" s="33">
        <v>64.29</v>
      </c>
      <c r="AN1022" s="7" t="s">
        <v>54</v>
      </c>
      <c r="AO1022" s="7" t="s">
        <v>55</v>
      </c>
      <c r="AP1022" s="7" t="s">
        <v>56</v>
      </c>
      <c r="AT1022" s="47" t="s">
        <v>57</v>
      </c>
      <c r="AU1022" s="47" t="s">
        <v>57</v>
      </c>
    </row>
    <row r="1023" spans="1:47">
      <c r="A1023" s="4" t="s">
        <v>48</v>
      </c>
      <c r="C1023" s="21"/>
      <c r="D1023" s="22" t="s">
        <v>49</v>
      </c>
      <c r="G1023" s="23">
        <v>45091</v>
      </c>
      <c r="H1023" s="24" t="s">
        <v>3072</v>
      </c>
      <c r="J1023" s="28" t="s">
        <v>51</v>
      </c>
      <c r="L1023" s="24" t="s">
        <v>3073</v>
      </c>
      <c r="M1023" s="1" t="str">
        <f>"132821195907148273"</f>
        <v>132821195907148273</v>
      </c>
      <c r="N1023" s="24" t="s">
        <v>3073</v>
      </c>
      <c r="O1023" s="1" t="str">
        <f>"132821195907148273"</f>
        <v>132821195907148273</v>
      </c>
      <c r="P1023" s="23" t="s">
        <v>3074</v>
      </c>
      <c r="Q1023" s="23">
        <v>45092</v>
      </c>
      <c r="R1023" s="32">
        <v>45458</v>
      </c>
      <c r="V1023" s="33">
        <v>100</v>
      </c>
      <c r="W1023" s="28">
        <v>64.29</v>
      </c>
      <c r="X1023" s="34" t="s">
        <v>54</v>
      </c>
      <c r="Y1023" s="33">
        <v>64.29</v>
      </c>
      <c r="AC1023" s="28">
        <v>64.29</v>
      </c>
      <c r="AD1023" s="34" t="s">
        <v>54</v>
      </c>
      <c r="AE1023" s="33">
        <v>64.29</v>
      </c>
      <c r="AN1023" s="7" t="s">
        <v>54</v>
      </c>
      <c r="AO1023" s="7" t="s">
        <v>55</v>
      </c>
      <c r="AP1023" s="7" t="s">
        <v>56</v>
      </c>
      <c r="AT1023" s="47" t="s">
        <v>57</v>
      </c>
      <c r="AU1023" s="47" t="s">
        <v>57</v>
      </c>
    </row>
    <row r="1024" spans="1:47">
      <c r="A1024" s="4" t="s">
        <v>48</v>
      </c>
      <c r="C1024" s="21"/>
      <c r="D1024" s="22" t="s">
        <v>49</v>
      </c>
      <c r="G1024" s="23">
        <v>45092</v>
      </c>
      <c r="H1024" s="24" t="s">
        <v>3075</v>
      </c>
      <c r="J1024" s="28" t="s">
        <v>51</v>
      </c>
      <c r="L1024" s="24" t="s">
        <v>3076</v>
      </c>
      <c r="M1024" s="1" t="str">
        <f>"13282919780310361X"</f>
        <v>13282919780310361X</v>
      </c>
      <c r="N1024" s="24" t="s">
        <v>3076</v>
      </c>
      <c r="O1024" s="1" t="str">
        <f>"13282919780310361X"</f>
        <v>13282919780310361X</v>
      </c>
      <c r="P1024" s="23" t="s">
        <v>3077</v>
      </c>
      <c r="Q1024" s="23">
        <v>45154</v>
      </c>
      <c r="R1024" s="32">
        <v>45520</v>
      </c>
      <c r="V1024" s="33">
        <v>100</v>
      </c>
      <c r="W1024" s="28">
        <v>64.29</v>
      </c>
      <c r="X1024" s="34" t="s">
        <v>54</v>
      </c>
      <c r="Y1024" s="33">
        <v>64.29</v>
      </c>
      <c r="AC1024" s="28">
        <v>64.29</v>
      </c>
      <c r="AD1024" s="34" t="s">
        <v>54</v>
      </c>
      <c r="AE1024" s="33">
        <v>64.29</v>
      </c>
      <c r="AN1024" s="7" t="s">
        <v>54</v>
      </c>
      <c r="AO1024" s="7" t="s">
        <v>55</v>
      </c>
      <c r="AP1024" s="7" t="s">
        <v>56</v>
      </c>
      <c r="AT1024" s="47" t="s">
        <v>57</v>
      </c>
      <c r="AU1024" s="47" t="s">
        <v>57</v>
      </c>
    </row>
    <row r="1025" spans="1:47">
      <c r="A1025" s="4" t="s">
        <v>48</v>
      </c>
      <c r="C1025" s="21"/>
      <c r="D1025" s="22" t="s">
        <v>49</v>
      </c>
      <c r="G1025" s="23">
        <v>45092</v>
      </c>
      <c r="H1025" s="24" t="s">
        <v>3078</v>
      </c>
      <c r="J1025" s="28" t="s">
        <v>51</v>
      </c>
      <c r="L1025" s="24" t="s">
        <v>3079</v>
      </c>
      <c r="M1025" s="1" t="str">
        <f>"132823197807226811"</f>
        <v>132823197807226811</v>
      </c>
      <c r="N1025" s="24" t="s">
        <v>3079</v>
      </c>
      <c r="O1025" s="1" t="str">
        <f>"132823197807226811"</f>
        <v>132823197807226811</v>
      </c>
      <c r="P1025" s="23" t="s">
        <v>3080</v>
      </c>
      <c r="Q1025" s="23">
        <v>45209</v>
      </c>
      <c r="R1025" s="32">
        <v>45575</v>
      </c>
      <c r="V1025" s="33">
        <v>100</v>
      </c>
      <c r="W1025" s="28">
        <v>64.29</v>
      </c>
      <c r="X1025" s="34" t="s">
        <v>54</v>
      </c>
      <c r="Y1025" s="33">
        <v>64.29</v>
      </c>
      <c r="AC1025" s="28">
        <v>64.29</v>
      </c>
      <c r="AD1025" s="34" t="s">
        <v>54</v>
      </c>
      <c r="AE1025" s="33">
        <v>64.29</v>
      </c>
      <c r="AN1025" s="7" t="s">
        <v>54</v>
      </c>
      <c r="AO1025" s="7" t="s">
        <v>55</v>
      </c>
      <c r="AP1025" s="7" t="s">
        <v>56</v>
      </c>
      <c r="AT1025" s="47" t="s">
        <v>57</v>
      </c>
      <c r="AU1025" s="47" t="s">
        <v>57</v>
      </c>
    </row>
    <row r="1026" spans="1:47">
      <c r="A1026" s="4" t="s">
        <v>48</v>
      </c>
      <c r="C1026" s="21"/>
      <c r="D1026" s="22" t="s">
        <v>49</v>
      </c>
      <c r="G1026" s="23">
        <v>45091</v>
      </c>
      <c r="H1026" s="24" t="s">
        <v>3081</v>
      </c>
      <c r="J1026" s="28" t="s">
        <v>51</v>
      </c>
      <c r="L1026" s="24" t="s">
        <v>3082</v>
      </c>
      <c r="M1026" s="1" t="str">
        <f>"131082198501302527"</f>
        <v>131082198501302527</v>
      </c>
      <c r="N1026" s="24" t="s">
        <v>3082</v>
      </c>
      <c r="O1026" s="1" t="str">
        <f>"131082198501302527"</f>
        <v>131082198501302527</v>
      </c>
      <c r="P1026" s="23" t="s">
        <v>3083</v>
      </c>
      <c r="Q1026" s="23">
        <v>45302</v>
      </c>
      <c r="R1026" s="32">
        <v>45668</v>
      </c>
      <c r="V1026" s="33">
        <v>100</v>
      </c>
      <c r="W1026" s="28">
        <v>64.29</v>
      </c>
      <c r="X1026" s="34" t="s">
        <v>54</v>
      </c>
      <c r="Y1026" s="33">
        <v>64.29</v>
      </c>
      <c r="AC1026" s="28">
        <v>64.29</v>
      </c>
      <c r="AD1026" s="34" t="s">
        <v>54</v>
      </c>
      <c r="AE1026" s="33">
        <v>64.29</v>
      </c>
      <c r="AN1026" s="7" t="s">
        <v>54</v>
      </c>
      <c r="AO1026" s="7" t="s">
        <v>55</v>
      </c>
      <c r="AP1026" s="7" t="s">
        <v>56</v>
      </c>
      <c r="AT1026" s="47" t="s">
        <v>57</v>
      </c>
      <c r="AU1026" s="47" t="s">
        <v>57</v>
      </c>
    </row>
    <row r="1027" spans="1:47">
      <c r="A1027" s="4" t="s">
        <v>48</v>
      </c>
      <c r="C1027" s="21"/>
      <c r="D1027" s="22" t="s">
        <v>49</v>
      </c>
      <c r="G1027" s="23">
        <v>45089</v>
      </c>
      <c r="H1027" s="24" t="s">
        <v>3084</v>
      </c>
      <c r="J1027" s="28" t="s">
        <v>51</v>
      </c>
      <c r="L1027" s="24" t="s">
        <v>3085</v>
      </c>
      <c r="M1027" s="1" t="str">
        <f>"341221199302014452"</f>
        <v>341221199302014452</v>
      </c>
      <c r="N1027" s="24" t="s">
        <v>3085</v>
      </c>
      <c r="O1027" s="1" t="str">
        <f>"341221199302014452"</f>
        <v>341221199302014452</v>
      </c>
      <c r="P1027" s="23" t="s">
        <v>3086</v>
      </c>
      <c r="Q1027" s="23">
        <v>45212</v>
      </c>
      <c r="R1027" s="32">
        <v>45578</v>
      </c>
      <c r="V1027" s="33">
        <v>100</v>
      </c>
      <c r="W1027" s="28">
        <v>64.29</v>
      </c>
      <c r="X1027" s="34" t="s">
        <v>54</v>
      </c>
      <c r="Y1027" s="33">
        <v>64.29</v>
      </c>
      <c r="AC1027" s="28">
        <v>64.29</v>
      </c>
      <c r="AD1027" s="34" t="s">
        <v>54</v>
      </c>
      <c r="AE1027" s="33">
        <v>64.29</v>
      </c>
      <c r="AN1027" s="7" t="s">
        <v>54</v>
      </c>
      <c r="AO1027" s="7" t="s">
        <v>55</v>
      </c>
      <c r="AP1027" s="7" t="s">
        <v>56</v>
      </c>
      <c r="AT1027" s="47" t="s">
        <v>57</v>
      </c>
      <c r="AU1027" s="47" t="s">
        <v>57</v>
      </c>
    </row>
    <row r="1028" spans="1:47">
      <c r="A1028" s="4" t="s">
        <v>48</v>
      </c>
      <c r="C1028" s="21"/>
      <c r="D1028" s="22" t="s">
        <v>49</v>
      </c>
      <c r="G1028" s="23">
        <v>45082</v>
      </c>
      <c r="H1028" s="24" t="s">
        <v>3087</v>
      </c>
      <c r="J1028" s="28" t="s">
        <v>51</v>
      </c>
      <c r="L1028" s="24" t="s">
        <v>3088</v>
      </c>
      <c r="M1028" s="1" t="str">
        <f>"131024198205100054"</f>
        <v>131024198205100054</v>
      </c>
      <c r="N1028" s="24" t="s">
        <v>3088</v>
      </c>
      <c r="O1028" s="1" t="str">
        <f>"131024198205100054"</f>
        <v>131024198205100054</v>
      </c>
      <c r="P1028" s="23" t="s">
        <v>3089</v>
      </c>
      <c r="Q1028" s="23">
        <v>45083</v>
      </c>
      <c r="R1028" s="32">
        <v>45449</v>
      </c>
      <c r="V1028" s="33">
        <v>100</v>
      </c>
      <c r="W1028" s="28">
        <v>64.29</v>
      </c>
      <c r="X1028" s="34" t="s">
        <v>54</v>
      </c>
      <c r="Y1028" s="33">
        <v>64.29</v>
      </c>
      <c r="AC1028" s="28">
        <v>64.29</v>
      </c>
      <c r="AD1028" s="34" t="s">
        <v>54</v>
      </c>
      <c r="AE1028" s="33">
        <v>64.29</v>
      </c>
      <c r="AN1028" s="7" t="s">
        <v>54</v>
      </c>
      <c r="AO1028" s="7" t="s">
        <v>55</v>
      </c>
      <c r="AP1028" s="7" t="s">
        <v>56</v>
      </c>
      <c r="AT1028" s="47" t="s">
        <v>57</v>
      </c>
      <c r="AU1028" s="47" t="s">
        <v>57</v>
      </c>
    </row>
    <row r="1029" spans="1:47">
      <c r="A1029" s="4" t="s">
        <v>48</v>
      </c>
      <c r="C1029" s="21"/>
      <c r="D1029" s="22" t="s">
        <v>49</v>
      </c>
      <c r="G1029" s="23">
        <v>45082</v>
      </c>
      <c r="H1029" s="24" t="s">
        <v>3090</v>
      </c>
      <c r="J1029" s="28" t="s">
        <v>51</v>
      </c>
      <c r="L1029" s="24" t="s">
        <v>3091</v>
      </c>
      <c r="M1029" s="1" t="str">
        <f>"342122195707010023"</f>
        <v>342122195707010023</v>
      </c>
      <c r="N1029" s="24" t="s">
        <v>3091</v>
      </c>
      <c r="O1029" s="1" t="str">
        <f>"342122195707010023"</f>
        <v>342122195707010023</v>
      </c>
      <c r="P1029" s="23" t="s">
        <v>3092</v>
      </c>
      <c r="Q1029" s="23">
        <v>45175</v>
      </c>
      <c r="R1029" s="32">
        <v>45541</v>
      </c>
      <c r="V1029" s="33">
        <v>100</v>
      </c>
      <c r="W1029" s="28">
        <v>64.29</v>
      </c>
      <c r="X1029" s="34" t="s">
        <v>54</v>
      </c>
      <c r="Y1029" s="33">
        <v>64.29</v>
      </c>
      <c r="AC1029" s="28">
        <v>64.29</v>
      </c>
      <c r="AD1029" s="34" t="s">
        <v>54</v>
      </c>
      <c r="AE1029" s="33">
        <v>64.29</v>
      </c>
      <c r="AN1029" s="7" t="s">
        <v>54</v>
      </c>
      <c r="AO1029" s="7" t="s">
        <v>55</v>
      </c>
      <c r="AP1029" s="7" t="s">
        <v>56</v>
      </c>
      <c r="AT1029" s="47" t="s">
        <v>57</v>
      </c>
      <c r="AU1029" s="47" t="s">
        <v>57</v>
      </c>
    </row>
    <row r="1030" spans="1:47">
      <c r="A1030" s="4" t="s">
        <v>48</v>
      </c>
      <c r="C1030" s="21"/>
      <c r="D1030" s="22" t="s">
        <v>49</v>
      </c>
      <c r="G1030" s="23">
        <v>45082</v>
      </c>
      <c r="H1030" s="24" t="s">
        <v>3093</v>
      </c>
      <c r="J1030" s="28" t="s">
        <v>51</v>
      </c>
      <c r="L1030" s="24" t="s">
        <v>1681</v>
      </c>
      <c r="M1030" s="1" t="str">
        <f>"131024198205100054"</f>
        <v>131024198205100054</v>
      </c>
      <c r="N1030" s="24" t="s">
        <v>1681</v>
      </c>
      <c r="O1030" s="1" t="str">
        <f>"131024198205100054"</f>
        <v>131024198205100054</v>
      </c>
      <c r="P1030" s="23" t="s">
        <v>3089</v>
      </c>
      <c r="Q1030" s="23">
        <v>45231</v>
      </c>
      <c r="R1030" s="32">
        <v>45597</v>
      </c>
      <c r="V1030" s="33">
        <v>100</v>
      </c>
      <c r="W1030" s="28">
        <v>64.29</v>
      </c>
      <c r="X1030" s="34" t="s">
        <v>54</v>
      </c>
      <c r="Y1030" s="33">
        <v>64.29</v>
      </c>
      <c r="AC1030" s="28">
        <v>64.29</v>
      </c>
      <c r="AD1030" s="34" t="s">
        <v>54</v>
      </c>
      <c r="AE1030" s="33">
        <v>64.29</v>
      </c>
      <c r="AN1030" s="7" t="s">
        <v>54</v>
      </c>
      <c r="AO1030" s="7" t="s">
        <v>55</v>
      </c>
      <c r="AP1030" s="7" t="s">
        <v>56</v>
      </c>
      <c r="AT1030" s="47" t="s">
        <v>57</v>
      </c>
      <c r="AU1030" s="47" t="s">
        <v>57</v>
      </c>
    </row>
    <row r="1031" spans="1:47">
      <c r="A1031" s="4" t="s">
        <v>48</v>
      </c>
      <c r="C1031" s="21"/>
      <c r="D1031" s="22" t="s">
        <v>49</v>
      </c>
      <c r="G1031" s="23">
        <v>45081</v>
      </c>
      <c r="H1031" s="24" t="s">
        <v>3094</v>
      </c>
      <c r="J1031" s="28" t="s">
        <v>51</v>
      </c>
      <c r="L1031" s="24" t="s">
        <v>3095</v>
      </c>
      <c r="M1031" s="1" t="str">
        <f>"341221198210160220"</f>
        <v>341221198210160220</v>
      </c>
      <c r="N1031" s="24" t="s">
        <v>3095</v>
      </c>
      <c r="O1031" s="1" t="str">
        <f>"341221198210160220"</f>
        <v>341221198210160220</v>
      </c>
      <c r="P1031" s="23" t="s">
        <v>3096</v>
      </c>
      <c r="Q1031" s="23">
        <v>45082</v>
      </c>
      <c r="R1031" s="32">
        <v>45448</v>
      </c>
      <c r="V1031" s="33">
        <v>200</v>
      </c>
      <c r="W1031" s="28">
        <v>64.29</v>
      </c>
      <c r="X1031" s="34" t="s">
        <v>54</v>
      </c>
      <c r="Y1031" s="33">
        <v>128.58</v>
      </c>
      <c r="AC1031" s="28">
        <v>64.29</v>
      </c>
      <c r="AD1031" s="34" t="s">
        <v>54</v>
      </c>
      <c r="AE1031" s="33">
        <v>128.58</v>
      </c>
      <c r="AN1031" s="7" t="s">
        <v>54</v>
      </c>
      <c r="AO1031" s="7" t="s">
        <v>55</v>
      </c>
      <c r="AP1031" s="7" t="s">
        <v>56</v>
      </c>
      <c r="AT1031" s="47" t="s">
        <v>57</v>
      </c>
      <c r="AU1031" s="47" t="s">
        <v>57</v>
      </c>
    </row>
    <row r="1032" spans="1:47">
      <c r="A1032" s="4" t="s">
        <v>48</v>
      </c>
      <c r="C1032" s="21"/>
      <c r="D1032" s="22" t="s">
        <v>49</v>
      </c>
      <c r="G1032" s="23">
        <v>45079</v>
      </c>
      <c r="H1032" s="24" t="s">
        <v>3097</v>
      </c>
      <c r="J1032" s="28" t="s">
        <v>51</v>
      </c>
      <c r="L1032" s="24" t="s">
        <v>3098</v>
      </c>
      <c r="M1032" s="1" t="str">
        <f>"512222197112125813"</f>
        <v>512222197112125813</v>
      </c>
      <c r="N1032" s="24" t="s">
        <v>3098</v>
      </c>
      <c r="O1032" s="1" t="str">
        <f>"512222197112125813"</f>
        <v>512222197112125813</v>
      </c>
      <c r="P1032" s="23" t="s">
        <v>3099</v>
      </c>
      <c r="Q1032" s="23">
        <v>45080</v>
      </c>
      <c r="R1032" s="32">
        <v>45446</v>
      </c>
      <c r="V1032" s="33">
        <v>200</v>
      </c>
      <c r="W1032" s="28">
        <v>64.29</v>
      </c>
      <c r="X1032" s="34" t="s">
        <v>54</v>
      </c>
      <c r="Y1032" s="33">
        <v>128.58</v>
      </c>
      <c r="AC1032" s="28">
        <v>64.29</v>
      </c>
      <c r="AD1032" s="34" t="s">
        <v>54</v>
      </c>
      <c r="AE1032" s="33">
        <v>128.58</v>
      </c>
      <c r="AN1032" s="7" t="s">
        <v>54</v>
      </c>
      <c r="AO1032" s="7" t="s">
        <v>55</v>
      </c>
      <c r="AP1032" s="7" t="s">
        <v>56</v>
      </c>
      <c r="AT1032" s="47" t="s">
        <v>57</v>
      </c>
      <c r="AU1032" s="47" t="s">
        <v>57</v>
      </c>
    </row>
    <row r="1033" spans="1:47">
      <c r="A1033" s="4" t="s">
        <v>48</v>
      </c>
      <c r="C1033" s="21"/>
      <c r="D1033" s="22" t="s">
        <v>49</v>
      </c>
      <c r="G1033" s="23">
        <v>45081</v>
      </c>
      <c r="H1033" s="24" t="s">
        <v>3100</v>
      </c>
      <c r="J1033" s="28" t="s">
        <v>51</v>
      </c>
      <c r="L1033" s="24" t="s">
        <v>3101</v>
      </c>
      <c r="M1033" s="1" t="str">
        <f>"341221198812301342"</f>
        <v>341221198812301342</v>
      </c>
      <c r="N1033" s="24" t="s">
        <v>3101</v>
      </c>
      <c r="O1033" s="1" t="str">
        <f>"341221198812301342"</f>
        <v>341221198812301342</v>
      </c>
      <c r="P1033" s="23" t="s">
        <v>3102</v>
      </c>
      <c r="Q1033" s="23">
        <v>45082</v>
      </c>
      <c r="R1033" s="32">
        <v>45448</v>
      </c>
      <c r="V1033" s="33">
        <v>200</v>
      </c>
      <c r="W1033" s="28">
        <v>64.29</v>
      </c>
      <c r="X1033" s="34" t="s">
        <v>54</v>
      </c>
      <c r="Y1033" s="33">
        <v>128.58</v>
      </c>
      <c r="AC1033" s="28">
        <v>64.29</v>
      </c>
      <c r="AD1033" s="34" t="s">
        <v>54</v>
      </c>
      <c r="AE1033" s="33">
        <v>128.58</v>
      </c>
      <c r="AN1033" s="7" t="s">
        <v>54</v>
      </c>
      <c r="AO1033" s="7" t="s">
        <v>55</v>
      </c>
      <c r="AP1033" s="7" t="s">
        <v>56</v>
      </c>
      <c r="AT1033" s="47" t="s">
        <v>57</v>
      </c>
      <c r="AU1033" s="47" t="s">
        <v>57</v>
      </c>
    </row>
    <row r="1034" spans="1:47">
      <c r="A1034" s="4" t="s">
        <v>48</v>
      </c>
      <c r="C1034" s="21"/>
      <c r="D1034" s="22" t="s">
        <v>49</v>
      </c>
      <c r="G1034" s="23">
        <v>45082</v>
      </c>
      <c r="H1034" s="24" t="s">
        <v>3103</v>
      </c>
      <c r="J1034" s="28" t="s">
        <v>51</v>
      </c>
      <c r="L1034" s="24" t="s">
        <v>3104</v>
      </c>
      <c r="M1034" s="1" t="str">
        <f>"341221197010120617"</f>
        <v>341221197010120617</v>
      </c>
      <c r="N1034" s="24" t="s">
        <v>3104</v>
      </c>
      <c r="O1034" s="1" t="str">
        <f>"341221197010120617"</f>
        <v>341221197010120617</v>
      </c>
      <c r="P1034" s="23" t="s">
        <v>3105</v>
      </c>
      <c r="Q1034" s="23">
        <v>45083</v>
      </c>
      <c r="R1034" s="32">
        <v>45449</v>
      </c>
      <c r="V1034" s="33">
        <v>200</v>
      </c>
      <c r="W1034" s="28">
        <v>64.29</v>
      </c>
      <c r="X1034" s="34" t="s">
        <v>54</v>
      </c>
      <c r="Y1034" s="33">
        <v>128.58</v>
      </c>
      <c r="AC1034" s="28">
        <v>64.29</v>
      </c>
      <c r="AD1034" s="34" t="s">
        <v>54</v>
      </c>
      <c r="AE1034" s="33">
        <v>128.58</v>
      </c>
      <c r="AN1034" s="7" t="s">
        <v>54</v>
      </c>
      <c r="AO1034" s="7" t="s">
        <v>55</v>
      </c>
      <c r="AP1034" s="7" t="s">
        <v>56</v>
      </c>
      <c r="AT1034" s="47" t="s">
        <v>57</v>
      </c>
      <c r="AU1034" s="47" t="s">
        <v>57</v>
      </c>
    </row>
    <row r="1035" spans="1:47">
      <c r="A1035" s="4" t="s">
        <v>48</v>
      </c>
      <c r="C1035" s="21"/>
      <c r="D1035" s="22" t="s">
        <v>49</v>
      </c>
      <c r="G1035" s="23">
        <v>45078</v>
      </c>
      <c r="H1035" s="24" t="s">
        <v>3106</v>
      </c>
      <c r="J1035" s="28" t="s">
        <v>51</v>
      </c>
      <c r="L1035" s="24" t="s">
        <v>3107</v>
      </c>
      <c r="M1035" s="1" t="str">
        <f>"132132197909172111"</f>
        <v>132132197909172111</v>
      </c>
      <c r="N1035" s="24" t="s">
        <v>3107</v>
      </c>
      <c r="O1035" s="1" t="str">
        <f>"132132197909172111"</f>
        <v>132132197909172111</v>
      </c>
      <c r="P1035" s="23" t="s">
        <v>3108</v>
      </c>
      <c r="Q1035" s="23">
        <v>45079</v>
      </c>
      <c r="R1035" s="32">
        <v>45445</v>
      </c>
      <c r="V1035" s="33">
        <v>200</v>
      </c>
      <c r="W1035" s="28">
        <v>64.29</v>
      </c>
      <c r="X1035" s="34" t="s">
        <v>54</v>
      </c>
      <c r="Y1035" s="33">
        <v>128.58</v>
      </c>
      <c r="AC1035" s="28">
        <v>64.29</v>
      </c>
      <c r="AD1035" s="34" t="s">
        <v>54</v>
      </c>
      <c r="AE1035" s="33">
        <v>128.58</v>
      </c>
      <c r="AN1035" s="7" t="s">
        <v>54</v>
      </c>
      <c r="AO1035" s="7" t="s">
        <v>55</v>
      </c>
      <c r="AP1035" s="7" t="s">
        <v>56</v>
      </c>
      <c r="AT1035" s="47" t="s">
        <v>57</v>
      </c>
      <c r="AU1035" s="47" t="s">
        <v>57</v>
      </c>
    </row>
    <row r="1036" spans="1:47">
      <c r="A1036" s="4" t="s">
        <v>48</v>
      </c>
      <c r="C1036" s="21"/>
      <c r="D1036" s="22" t="s">
        <v>49</v>
      </c>
      <c r="G1036" s="23">
        <v>45078</v>
      </c>
      <c r="H1036" s="24" t="s">
        <v>3109</v>
      </c>
      <c r="J1036" s="28" t="s">
        <v>51</v>
      </c>
      <c r="L1036" s="24" t="s">
        <v>3110</v>
      </c>
      <c r="M1036" s="1" t="str">
        <f>"341221197807105510"</f>
        <v>341221197807105510</v>
      </c>
      <c r="N1036" s="24" t="s">
        <v>3110</v>
      </c>
      <c r="O1036" s="1" t="str">
        <f>"341221197807105510"</f>
        <v>341221197807105510</v>
      </c>
      <c r="P1036" s="23" t="s">
        <v>3111</v>
      </c>
      <c r="Q1036" s="23">
        <v>45079</v>
      </c>
      <c r="R1036" s="32">
        <v>45445</v>
      </c>
      <c r="V1036" s="33">
        <v>200</v>
      </c>
      <c r="W1036" s="28">
        <v>64.29</v>
      </c>
      <c r="X1036" s="34" t="s">
        <v>54</v>
      </c>
      <c r="Y1036" s="33">
        <v>128.58</v>
      </c>
      <c r="AC1036" s="28">
        <v>64.29</v>
      </c>
      <c r="AD1036" s="34" t="s">
        <v>54</v>
      </c>
      <c r="AE1036" s="33">
        <v>128.58</v>
      </c>
      <c r="AN1036" s="7" t="s">
        <v>54</v>
      </c>
      <c r="AO1036" s="7" t="s">
        <v>55</v>
      </c>
      <c r="AP1036" s="7" t="s">
        <v>56</v>
      </c>
      <c r="AT1036" s="47" t="s">
        <v>57</v>
      </c>
      <c r="AU1036" s="47" t="s">
        <v>57</v>
      </c>
    </row>
    <row r="1037" spans="1:47">
      <c r="A1037" s="4" t="s">
        <v>48</v>
      </c>
      <c r="C1037" s="21"/>
      <c r="D1037" s="22" t="s">
        <v>49</v>
      </c>
      <c r="G1037" s="23">
        <v>45077</v>
      </c>
      <c r="H1037" s="24" t="s">
        <v>3112</v>
      </c>
      <c r="J1037" s="28" t="s">
        <v>51</v>
      </c>
      <c r="L1037" s="24" t="s">
        <v>2276</v>
      </c>
      <c r="M1037" s="1" t="str">
        <f>"131082198402100575"</f>
        <v>131082198402100575</v>
      </c>
      <c r="N1037" s="24" t="s">
        <v>2276</v>
      </c>
      <c r="O1037" s="1" t="str">
        <f>"131082198402100575"</f>
        <v>131082198402100575</v>
      </c>
      <c r="P1037" s="23" t="s">
        <v>3113</v>
      </c>
      <c r="Q1037" s="23">
        <v>45078</v>
      </c>
      <c r="R1037" s="32">
        <v>45444</v>
      </c>
      <c r="V1037" s="33">
        <v>200</v>
      </c>
      <c r="W1037" s="28">
        <v>64.29</v>
      </c>
      <c r="X1037" s="34" t="s">
        <v>54</v>
      </c>
      <c r="Y1037" s="33">
        <v>128.58</v>
      </c>
      <c r="AC1037" s="28">
        <v>64.29</v>
      </c>
      <c r="AD1037" s="34" t="s">
        <v>54</v>
      </c>
      <c r="AE1037" s="33">
        <v>128.58</v>
      </c>
      <c r="AN1037" s="7" t="s">
        <v>54</v>
      </c>
      <c r="AO1037" s="7" t="s">
        <v>55</v>
      </c>
      <c r="AP1037" s="7" t="s">
        <v>56</v>
      </c>
      <c r="AT1037" s="47" t="s">
        <v>57</v>
      </c>
      <c r="AU1037" s="47" t="s">
        <v>57</v>
      </c>
    </row>
    <row r="1038" spans="1:47">
      <c r="A1038" s="4" t="s">
        <v>48</v>
      </c>
      <c r="C1038" s="21"/>
      <c r="D1038" s="22" t="s">
        <v>49</v>
      </c>
      <c r="G1038" s="23">
        <v>45102</v>
      </c>
      <c r="H1038" s="24" t="s">
        <v>3114</v>
      </c>
      <c r="J1038" s="28" t="s">
        <v>51</v>
      </c>
      <c r="L1038" s="24" t="s">
        <v>3115</v>
      </c>
      <c r="M1038" s="1" t="str">
        <f>"13282319630119001X"</f>
        <v>13282319630119001X</v>
      </c>
      <c r="N1038" s="24" t="s">
        <v>3115</v>
      </c>
      <c r="O1038" s="1" t="str">
        <f>"13282319630119001X"</f>
        <v>13282319630119001X</v>
      </c>
      <c r="P1038" s="23" t="s">
        <v>3116</v>
      </c>
      <c r="Q1038" s="23">
        <v>45103</v>
      </c>
      <c r="R1038" s="32">
        <v>45469</v>
      </c>
      <c r="V1038" s="33">
        <v>50</v>
      </c>
      <c r="W1038" s="28">
        <v>64.29</v>
      </c>
      <c r="X1038" s="34" t="s">
        <v>54</v>
      </c>
      <c r="Y1038" s="33">
        <v>32.15</v>
      </c>
      <c r="AC1038" s="28">
        <v>64.29</v>
      </c>
      <c r="AD1038" s="34" t="s">
        <v>54</v>
      </c>
      <c r="AE1038" s="33">
        <v>32.15</v>
      </c>
      <c r="AN1038" s="7" t="s">
        <v>54</v>
      </c>
      <c r="AO1038" s="7" t="s">
        <v>55</v>
      </c>
      <c r="AP1038" s="7" t="s">
        <v>56</v>
      </c>
      <c r="AT1038" s="47" t="s">
        <v>57</v>
      </c>
      <c r="AU1038" s="47" t="s">
        <v>57</v>
      </c>
    </row>
    <row r="1039" spans="1:47">
      <c r="A1039" s="4" t="s">
        <v>48</v>
      </c>
      <c r="C1039" s="21"/>
      <c r="D1039" s="22" t="s">
        <v>49</v>
      </c>
      <c r="G1039" s="23">
        <v>45096</v>
      </c>
      <c r="H1039" s="24" t="s">
        <v>3117</v>
      </c>
      <c r="J1039" s="28" t="s">
        <v>51</v>
      </c>
      <c r="L1039" s="24" t="s">
        <v>3118</v>
      </c>
      <c r="M1039" s="1" t="str">
        <f>"341204200208160217"</f>
        <v>341204200208160217</v>
      </c>
      <c r="N1039" s="24" t="s">
        <v>3118</v>
      </c>
      <c r="O1039" s="1" t="str">
        <f>"341204200208160217"</f>
        <v>341204200208160217</v>
      </c>
      <c r="P1039" s="23" t="s">
        <v>3119</v>
      </c>
      <c r="Q1039" s="23">
        <v>45097</v>
      </c>
      <c r="R1039" s="32">
        <v>45463</v>
      </c>
      <c r="V1039" s="33">
        <v>50</v>
      </c>
      <c r="W1039" s="28">
        <v>64.29</v>
      </c>
      <c r="X1039" s="34" t="s">
        <v>54</v>
      </c>
      <c r="Y1039" s="33">
        <v>32.15</v>
      </c>
      <c r="AC1039" s="28">
        <v>64.29</v>
      </c>
      <c r="AD1039" s="34" t="s">
        <v>54</v>
      </c>
      <c r="AE1039" s="33">
        <v>32.15</v>
      </c>
      <c r="AN1039" s="7" t="s">
        <v>54</v>
      </c>
      <c r="AO1039" s="7" t="s">
        <v>55</v>
      </c>
      <c r="AP1039" s="7" t="s">
        <v>56</v>
      </c>
      <c r="AT1039" s="47" t="s">
        <v>57</v>
      </c>
      <c r="AU1039" s="47" t="s">
        <v>57</v>
      </c>
    </row>
    <row r="1040" spans="1:47">
      <c r="A1040" s="4" t="s">
        <v>48</v>
      </c>
      <c r="C1040" s="21"/>
      <c r="D1040" s="22" t="s">
        <v>49</v>
      </c>
      <c r="G1040" s="23">
        <v>45102</v>
      </c>
      <c r="H1040" s="24" t="s">
        <v>3120</v>
      </c>
      <c r="J1040" s="28" t="s">
        <v>51</v>
      </c>
      <c r="L1040" s="24" t="s">
        <v>3121</v>
      </c>
      <c r="M1040" s="1" t="str">
        <f>"341221197412060215"</f>
        <v>341221197412060215</v>
      </c>
      <c r="N1040" s="24" t="s">
        <v>3121</v>
      </c>
      <c r="O1040" s="1" t="str">
        <f>"341221197412060215"</f>
        <v>341221197412060215</v>
      </c>
      <c r="P1040" s="23" t="s">
        <v>3122</v>
      </c>
      <c r="Q1040" s="23">
        <v>45103</v>
      </c>
      <c r="R1040" s="32">
        <v>45469</v>
      </c>
      <c r="V1040" s="33">
        <v>100</v>
      </c>
      <c r="W1040" s="28">
        <v>64.29</v>
      </c>
      <c r="X1040" s="34" t="s">
        <v>54</v>
      </c>
      <c r="Y1040" s="33">
        <v>64.29</v>
      </c>
      <c r="AC1040" s="28">
        <v>64.29</v>
      </c>
      <c r="AD1040" s="34" t="s">
        <v>54</v>
      </c>
      <c r="AE1040" s="33">
        <v>64.29</v>
      </c>
      <c r="AN1040" s="7" t="s">
        <v>54</v>
      </c>
      <c r="AO1040" s="7" t="s">
        <v>55</v>
      </c>
      <c r="AP1040" s="7" t="s">
        <v>56</v>
      </c>
      <c r="AT1040" s="47" t="s">
        <v>57</v>
      </c>
      <c r="AU1040" s="47" t="s">
        <v>57</v>
      </c>
    </row>
    <row r="1041" spans="1:47">
      <c r="A1041" s="4" t="s">
        <v>48</v>
      </c>
      <c r="C1041" s="21"/>
      <c r="D1041" s="22" t="s">
        <v>49</v>
      </c>
      <c r="G1041" s="23">
        <v>45102</v>
      </c>
      <c r="H1041" s="24" t="s">
        <v>3123</v>
      </c>
      <c r="J1041" s="28" t="s">
        <v>51</v>
      </c>
      <c r="L1041" s="24" t="s">
        <v>3124</v>
      </c>
      <c r="M1041" s="1" t="str">
        <f>"341221196710010262"</f>
        <v>341221196710010262</v>
      </c>
      <c r="N1041" s="24" t="s">
        <v>3124</v>
      </c>
      <c r="O1041" s="1" t="str">
        <f>"341221196710010262"</f>
        <v>341221196710010262</v>
      </c>
      <c r="P1041" s="23" t="s">
        <v>3125</v>
      </c>
      <c r="Q1041" s="23">
        <v>45103</v>
      </c>
      <c r="R1041" s="32">
        <v>45469</v>
      </c>
      <c r="V1041" s="33">
        <v>100</v>
      </c>
      <c r="W1041" s="28">
        <v>64.29</v>
      </c>
      <c r="X1041" s="34" t="s">
        <v>54</v>
      </c>
      <c r="Y1041" s="33">
        <v>64.29</v>
      </c>
      <c r="AC1041" s="28">
        <v>64.29</v>
      </c>
      <c r="AD1041" s="34" t="s">
        <v>54</v>
      </c>
      <c r="AE1041" s="33">
        <v>64.29</v>
      </c>
      <c r="AN1041" s="7" t="s">
        <v>54</v>
      </c>
      <c r="AO1041" s="7" t="s">
        <v>55</v>
      </c>
      <c r="AP1041" s="7" t="s">
        <v>56</v>
      </c>
      <c r="AT1041" s="47" t="s">
        <v>57</v>
      </c>
      <c r="AU1041" s="47" t="s">
        <v>57</v>
      </c>
    </row>
    <row r="1042" spans="1:47">
      <c r="A1042" s="4" t="s">
        <v>48</v>
      </c>
      <c r="C1042" s="21"/>
      <c r="D1042" s="22" t="s">
        <v>49</v>
      </c>
      <c r="G1042" s="23">
        <v>45102</v>
      </c>
      <c r="H1042" s="24" t="s">
        <v>3126</v>
      </c>
      <c r="J1042" s="28" t="s">
        <v>51</v>
      </c>
      <c r="L1042" s="24" t="s">
        <v>3127</v>
      </c>
      <c r="M1042" s="1" t="str">
        <f>"341222199004200069"</f>
        <v>341222199004200069</v>
      </c>
      <c r="N1042" s="24" t="s">
        <v>3127</v>
      </c>
      <c r="O1042" s="1" t="str">
        <f>"341222199004200069"</f>
        <v>341222199004200069</v>
      </c>
      <c r="P1042" s="23" t="s">
        <v>3128</v>
      </c>
      <c r="Q1042" s="23">
        <v>45103</v>
      </c>
      <c r="R1042" s="32">
        <v>45469</v>
      </c>
      <c r="V1042" s="33">
        <v>100</v>
      </c>
      <c r="W1042" s="28">
        <v>64.29</v>
      </c>
      <c r="X1042" s="34" t="s">
        <v>54</v>
      </c>
      <c r="Y1042" s="33">
        <v>64.29</v>
      </c>
      <c r="AC1042" s="28">
        <v>64.29</v>
      </c>
      <c r="AD1042" s="34" t="s">
        <v>54</v>
      </c>
      <c r="AE1042" s="33">
        <v>64.29</v>
      </c>
      <c r="AN1042" s="7" t="s">
        <v>54</v>
      </c>
      <c r="AO1042" s="7" t="s">
        <v>55</v>
      </c>
      <c r="AP1042" s="7" t="s">
        <v>56</v>
      </c>
      <c r="AT1042" s="47" t="s">
        <v>57</v>
      </c>
      <c r="AU1042" s="47" t="s">
        <v>57</v>
      </c>
    </row>
    <row r="1043" spans="1:47">
      <c r="A1043" s="4" t="s">
        <v>48</v>
      </c>
      <c r="C1043" s="21"/>
      <c r="D1043" s="22" t="s">
        <v>49</v>
      </c>
      <c r="G1043" s="23">
        <v>45102</v>
      </c>
      <c r="H1043" s="24" t="s">
        <v>3129</v>
      </c>
      <c r="J1043" s="28" t="s">
        <v>51</v>
      </c>
      <c r="L1043" s="24" t="s">
        <v>3130</v>
      </c>
      <c r="M1043" s="1" t="str">
        <f>"13108219760906831X"</f>
        <v>13108219760906831X</v>
      </c>
      <c r="N1043" s="24" t="s">
        <v>3130</v>
      </c>
      <c r="O1043" s="1" t="str">
        <f>"13108219760906831X"</f>
        <v>13108219760906831X</v>
      </c>
      <c r="P1043" s="23" t="s">
        <v>3131</v>
      </c>
      <c r="Q1043" s="23">
        <v>45103</v>
      </c>
      <c r="R1043" s="32">
        <v>45469</v>
      </c>
      <c r="V1043" s="33">
        <v>100</v>
      </c>
      <c r="W1043" s="28">
        <v>64.29</v>
      </c>
      <c r="X1043" s="34" t="s">
        <v>54</v>
      </c>
      <c r="Y1043" s="33">
        <v>64.29</v>
      </c>
      <c r="AC1043" s="28">
        <v>64.29</v>
      </c>
      <c r="AD1043" s="34" t="s">
        <v>54</v>
      </c>
      <c r="AE1043" s="33">
        <v>64.29</v>
      </c>
      <c r="AN1043" s="7" t="s">
        <v>54</v>
      </c>
      <c r="AO1043" s="7" t="s">
        <v>55</v>
      </c>
      <c r="AP1043" s="7" t="s">
        <v>56</v>
      </c>
      <c r="AT1043" s="47" t="s">
        <v>57</v>
      </c>
      <c r="AU1043" s="47" t="s">
        <v>57</v>
      </c>
    </row>
    <row r="1044" spans="1:47">
      <c r="A1044" s="4" t="s">
        <v>48</v>
      </c>
      <c r="C1044" s="21"/>
      <c r="D1044" s="22" t="s">
        <v>49</v>
      </c>
      <c r="G1044" s="23">
        <v>45089</v>
      </c>
      <c r="H1044" s="24" t="s">
        <v>3132</v>
      </c>
      <c r="J1044" s="28" t="s">
        <v>51</v>
      </c>
      <c r="L1044" s="24" t="s">
        <v>3133</v>
      </c>
      <c r="M1044" s="1" t="str">
        <f>"341623198703015624"</f>
        <v>341623198703015624</v>
      </c>
      <c r="N1044" s="24" t="s">
        <v>3133</v>
      </c>
      <c r="O1044" s="1" t="str">
        <f>"341623198703015624"</f>
        <v>341623198703015624</v>
      </c>
      <c r="P1044" s="23" t="s">
        <v>3134</v>
      </c>
      <c r="Q1044" s="23">
        <v>45090</v>
      </c>
      <c r="R1044" s="32">
        <v>45456</v>
      </c>
      <c r="V1044" s="33">
        <v>100</v>
      </c>
      <c r="W1044" s="28">
        <v>64.29</v>
      </c>
      <c r="X1044" s="34" t="s">
        <v>54</v>
      </c>
      <c r="Y1044" s="33">
        <v>64.29</v>
      </c>
      <c r="AC1044" s="28">
        <v>64.29</v>
      </c>
      <c r="AD1044" s="34" t="s">
        <v>54</v>
      </c>
      <c r="AE1044" s="33">
        <v>64.29</v>
      </c>
      <c r="AN1044" s="7" t="s">
        <v>54</v>
      </c>
      <c r="AO1044" s="7" t="s">
        <v>55</v>
      </c>
      <c r="AP1044" s="7" t="s">
        <v>56</v>
      </c>
      <c r="AT1044" s="47" t="s">
        <v>57</v>
      </c>
      <c r="AU1044" s="47" t="s">
        <v>57</v>
      </c>
    </row>
    <row r="1045" spans="1:47">
      <c r="A1045" s="4" t="s">
        <v>48</v>
      </c>
      <c r="C1045" s="21"/>
      <c r="D1045" s="22" t="s">
        <v>49</v>
      </c>
      <c r="G1045" s="23">
        <v>45090</v>
      </c>
      <c r="H1045" s="24" t="s">
        <v>3135</v>
      </c>
      <c r="J1045" s="28" t="s">
        <v>51</v>
      </c>
      <c r="L1045" s="24" t="s">
        <v>3136</v>
      </c>
      <c r="M1045" s="1" t="str">
        <f>"342201198408206453"</f>
        <v>342201198408206453</v>
      </c>
      <c r="N1045" s="24" t="s">
        <v>3136</v>
      </c>
      <c r="O1045" s="1" t="str">
        <f>"342201198408206453"</f>
        <v>342201198408206453</v>
      </c>
      <c r="P1045" s="23" t="s">
        <v>3137</v>
      </c>
      <c r="Q1045" s="23">
        <v>45272</v>
      </c>
      <c r="R1045" s="32">
        <v>45638</v>
      </c>
      <c r="V1045" s="33">
        <v>100</v>
      </c>
      <c r="W1045" s="28">
        <v>64.29</v>
      </c>
      <c r="X1045" s="34" t="s">
        <v>54</v>
      </c>
      <c r="Y1045" s="33">
        <v>64.29</v>
      </c>
      <c r="AC1045" s="28">
        <v>64.29</v>
      </c>
      <c r="AD1045" s="34" t="s">
        <v>54</v>
      </c>
      <c r="AE1045" s="33">
        <v>64.29</v>
      </c>
      <c r="AN1045" s="7" t="s">
        <v>54</v>
      </c>
      <c r="AO1045" s="7" t="s">
        <v>55</v>
      </c>
      <c r="AP1045" s="7" t="s">
        <v>56</v>
      </c>
      <c r="AT1045" s="47" t="s">
        <v>57</v>
      </c>
      <c r="AU1045" s="47" t="s">
        <v>57</v>
      </c>
    </row>
    <row r="1046" spans="1:47">
      <c r="A1046" s="4" t="s">
        <v>48</v>
      </c>
      <c r="C1046" s="21"/>
      <c r="D1046" s="22" t="s">
        <v>49</v>
      </c>
      <c r="G1046" s="23">
        <v>45078</v>
      </c>
      <c r="H1046" s="24" t="s">
        <v>3138</v>
      </c>
      <c r="J1046" s="28" t="s">
        <v>51</v>
      </c>
      <c r="L1046" s="24" t="s">
        <v>3139</v>
      </c>
      <c r="M1046" s="1" t="str">
        <f>"13108219760906831X"</f>
        <v>13108219760906831X</v>
      </c>
      <c r="N1046" s="24" t="s">
        <v>3139</v>
      </c>
      <c r="O1046" s="1" t="str">
        <f>"13108219760906831X"</f>
        <v>13108219760906831X</v>
      </c>
      <c r="P1046" s="23" t="s">
        <v>3131</v>
      </c>
      <c r="Q1046" s="23">
        <v>45079</v>
      </c>
      <c r="R1046" s="32">
        <v>45445</v>
      </c>
      <c r="V1046" s="33">
        <v>100</v>
      </c>
      <c r="W1046" s="28">
        <v>64.29</v>
      </c>
      <c r="X1046" s="34" t="s">
        <v>54</v>
      </c>
      <c r="Y1046" s="33">
        <v>64.29</v>
      </c>
      <c r="AC1046" s="28">
        <v>64.29</v>
      </c>
      <c r="AD1046" s="34" t="s">
        <v>54</v>
      </c>
      <c r="AE1046" s="33">
        <v>64.29</v>
      </c>
      <c r="AN1046" s="7" t="s">
        <v>54</v>
      </c>
      <c r="AO1046" s="7" t="s">
        <v>55</v>
      </c>
      <c r="AP1046" s="7" t="s">
        <v>56</v>
      </c>
      <c r="AT1046" s="47" t="s">
        <v>57</v>
      </c>
      <c r="AU1046" s="47" t="s">
        <v>57</v>
      </c>
    </row>
    <row r="1047" spans="1:47">
      <c r="A1047" s="4" t="s">
        <v>48</v>
      </c>
      <c r="C1047" s="21"/>
      <c r="D1047" s="22" t="s">
        <v>49</v>
      </c>
      <c r="G1047" s="23">
        <v>45078</v>
      </c>
      <c r="H1047" s="24" t="s">
        <v>3140</v>
      </c>
      <c r="J1047" s="28" t="s">
        <v>51</v>
      </c>
      <c r="L1047" s="24" t="s">
        <v>3141</v>
      </c>
      <c r="M1047" s="1" t="str">
        <f>"130321198307196719"</f>
        <v>130321198307196719</v>
      </c>
      <c r="N1047" s="24" t="s">
        <v>3141</v>
      </c>
      <c r="O1047" s="1" t="str">
        <f>"130321198307196719"</f>
        <v>130321198307196719</v>
      </c>
      <c r="P1047" s="23" t="s">
        <v>3142</v>
      </c>
      <c r="Q1047" s="23">
        <v>45201</v>
      </c>
      <c r="R1047" s="32">
        <v>45567</v>
      </c>
      <c r="V1047" s="33">
        <v>100</v>
      </c>
      <c r="W1047" s="28">
        <v>64.29</v>
      </c>
      <c r="X1047" s="34" t="s">
        <v>54</v>
      </c>
      <c r="Y1047" s="33">
        <v>64.29</v>
      </c>
      <c r="AC1047" s="28">
        <v>64.29</v>
      </c>
      <c r="AD1047" s="34" t="s">
        <v>54</v>
      </c>
      <c r="AE1047" s="33">
        <v>64.29</v>
      </c>
      <c r="AN1047" s="7" t="s">
        <v>54</v>
      </c>
      <c r="AO1047" s="7" t="s">
        <v>55</v>
      </c>
      <c r="AP1047" s="7" t="s">
        <v>56</v>
      </c>
      <c r="AT1047" s="47" t="s">
        <v>57</v>
      </c>
      <c r="AU1047" s="47" t="s">
        <v>57</v>
      </c>
    </row>
    <row r="1048" spans="1:47">
      <c r="A1048" s="4" t="s">
        <v>48</v>
      </c>
      <c r="C1048" s="21"/>
      <c r="D1048" s="22" t="s">
        <v>49</v>
      </c>
      <c r="G1048" s="23">
        <v>45077</v>
      </c>
      <c r="H1048" s="24" t="s">
        <v>3143</v>
      </c>
      <c r="J1048" s="28" t="s">
        <v>51</v>
      </c>
      <c r="L1048" s="24" t="s">
        <v>3144</v>
      </c>
      <c r="M1048" s="1" t="str">
        <f>"341203199506281517"</f>
        <v>341203199506281517</v>
      </c>
      <c r="N1048" s="24" t="s">
        <v>3144</v>
      </c>
      <c r="O1048" s="1" t="str">
        <f>"341203199506281517"</f>
        <v>341203199506281517</v>
      </c>
      <c r="P1048" s="23" t="s">
        <v>3145</v>
      </c>
      <c r="Q1048" s="23">
        <v>45200</v>
      </c>
      <c r="R1048" s="32">
        <v>45566</v>
      </c>
      <c r="V1048" s="33">
        <v>100</v>
      </c>
      <c r="W1048" s="28">
        <v>64.29</v>
      </c>
      <c r="X1048" s="34" t="s">
        <v>54</v>
      </c>
      <c r="Y1048" s="33">
        <v>64.29</v>
      </c>
      <c r="AC1048" s="28">
        <v>64.29</v>
      </c>
      <c r="AD1048" s="34" t="s">
        <v>54</v>
      </c>
      <c r="AE1048" s="33">
        <v>64.29</v>
      </c>
      <c r="AN1048" s="7" t="s">
        <v>54</v>
      </c>
      <c r="AO1048" s="7" t="s">
        <v>55</v>
      </c>
      <c r="AP1048" s="7" t="s">
        <v>56</v>
      </c>
      <c r="AT1048" s="47" t="s">
        <v>57</v>
      </c>
      <c r="AU1048" s="47" t="s">
        <v>57</v>
      </c>
    </row>
    <row r="1049" spans="1:47">
      <c r="A1049" s="4" t="s">
        <v>48</v>
      </c>
      <c r="C1049" s="21"/>
      <c r="D1049" s="22" t="s">
        <v>49</v>
      </c>
      <c r="G1049" s="23">
        <v>45078</v>
      </c>
      <c r="H1049" s="24" t="s">
        <v>3146</v>
      </c>
      <c r="J1049" s="28" t="s">
        <v>51</v>
      </c>
      <c r="L1049" s="24" t="s">
        <v>3147</v>
      </c>
      <c r="M1049" s="1" t="str">
        <f>"341203199304171555"</f>
        <v>341203199304171555</v>
      </c>
      <c r="N1049" s="24" t="s">
        <v>3147</v>
      </c>
      <c r="O1049" s="1" t="str">
        <f>"341203199304171555"</f>
        <v>341203199304171555</v>
      </c>
      <c r="P1049" s="23" t="s">
        <v>3148</v>
      </c>
      <c r="Q1049" s="23">
        <v>45079</v>
      </c>
      <c r="R1049" s="32">
        <v>45445</v>
      </c>
      <c r="V1049" s="33">
        <v>200</v>
      </c>
      <c r="W1049" s="28">
        <v>64.29</v>
      </c>
      <c r="X1049" s="34" t="s">
        <v>54</v>
      </c>
      <c r="Y1049" s="33">
        <v>128.58</v>
      </c>
      <c r="AC1049" s="28">
        <v>64.29</v>
      </c>
      <c r="AD1049" s="34" t="s">
        <v>54</v>
      </c>
      <c r="AE1049" s="33">
        <v>128.58</v>
      </c>
      <c r="AN1049" s="7" t="s">
        <v>54</v>
      </c>
      <c r="AO1049" s="7" t="s">
        <v>55</v>
      </c>
      <c r="AP1049" s="7" t="s">
        <v>56</v>
      </c>
      <c r="AT1049" s="47" t="s">
        <v>57</v>
      </c>
      <c r="AU1049" s="47" t="s">
        <v>57</v>
      </c>
    </row>
    <row r="1050" spans="1:47">
      <c r="A1050" s="4" t="s">
        <v>48</v>
      </c>
      <c r="C1050" s="21"/>
      <c r="D1050" s="22" t="s">
        <v>49</v>
      </c>
      <c r="G1050" s="23">
        <v>45077</v>
      </c>
      <c r="H1050" s="24" t="s">
        <v>3149</v>
      </c>
      <c r="J1050" s="28" t="s">
        <v>51</v>
      </c>
      <c r="L1050" s="24" t="s">
        <v>3150</v>
      </c>
      <c r="M1050" s="1" t="str">
        <f>"132821196506088286"</f>
        <v>132821196506088286</v>
      </c>
      <c r="N1050" s="24" t="s">
        <v>3150</v>
      </c>
      <c r="O1050" s="1" t="str">
        <f>"132821196506088286"</f>
        <v>132821196506088286</v>
      </c>
      <c r="P1050" s="23" t="s">
        <v>3151</v>
      </c>
      <c r="Q1050" s="23">
        <v>45078</v>
      </c>
      <c r="R1050" s="32">
        <v>45444</v>
      </c>
      <c r="V1050" s="33">
        <v>200</v>
      </c>
      <c r="W1050" s="28">
        <v>64.29</v>
      </c>
      <c r="X1050" s="34" t="s">
        <v>54</v>
      </c>
      <c r="Y1050" s="33">
        <v>128.58</v>
      </c>
      <c r="AC1050" s="28">
        <v>64.29</v>
      </c>
      <c r="AD1050" s="34" t="s">
        <v>54</v>
      </c>
      <c r="AE1050" s="33">
        <v>128.58</v>
      </c>
      <c r="AN1050" s="7" t="s">
        <v>54</v>
      </c>
      <c r="AO1050" s="7" t="s">
        <v>55</v>
      </c>
      <c r="AP1050" s="7" t="s">
        <v>56</v>
      </c>
      <c r="AT1050" s="47" t="s">
        <v>57</v>
      </c>
      <c r="AU1050" s="47" t="s">
        <v>57</v>
      </c>
    </row>
    <row r="1051" spans="1:47">
      <c r="A1051" s="4" t="s">
        <v>48</v>
      </c>
      <c r="C1051" s="21"/>
      <c r="D1051" s="22" t="s">
        <v>49</v>
      </c>
      <c r="G1051" s="23">
        <v>45074</v>
      </c>
      <c r="H1051" s="24" t="s">
        <v>3152</v>
      </c>
      <c r="J1051" s="28" t="s">
        <v>51</v>
      </c>
      <c r="L1051" s="24" t="s">
        <v>3153</v>
      </c>
      <c r="M1051" s="1" t="str">
        <f>"131022197104183375"</f>
        <v>131022197104183375</v>
      </c>
      <c r="N1051" s="24" t="s">
        <v>3153</v>
      </c>
      <c r="O1051" s="1" t="str">
        <f>"131022197104183375"</f>
        <v>131022197104183375</v>
      </c>
      <c r="P1051" s="23" t="s">
        <v>3154</v>
      </c>
      <c r="Q1051" s="23">
        <v>45075</v>
      </c>
      <c r="R1051" s="32">
        <v>45441</v>
      </c>
      <c r="V1051" s="33">
        <v>200</v>
      </c>
      <c r="W1051" s="28">
        <v>64.29</v>
      </c>
      <c r="X1051" s="34" t="s">
        <v>54</v>
      </c>
      <c r="Y1051" s="33">
        <v>128.58</v>
      </c>
      <c r="AC1051" s="28">
        <v>64.29</v>
      </c>
      <c r="AD1051" s="34" t="s">
        <v>54</v>
      </c>
      <c r="AE1051" s="33">
        <v>128.58</v>
      </c>
      <c r="AN1051" s="7" t="s">
        <v>54</v>
      </c>
      <c r="AO1051" s="7" t="s">
        <v>55</v>
      </c>
      <c r="AP1051" s="7" t="s">
        <v>56</v>
      </c>
      <c r="AT1051" s="47" t="s">
        <v>57</v>
      </c>
      <c r="AU1051" s="47" t="s">
        <v>57</v>
      </c>
    </row>
    <row r="1052" spans="1:47">
      <c r="A1052" s="4" t="s">
        <v>48</v>
      </c>
      <c r="C1052" s="21"/>
      <c r="D1052" s="22" t="s">
        <v>49</v>
      </c>
      <c r="G1052" s="23">
        <v>45076</v>
      </c>
      <c r="H1052" s="24" t="s">
        <v>3155</v>
      </c>
      <c r="J1052" s="28" t="s">
        <v>51</v>
      </c>
      <c r="L1052" s="24" t="s">
        <v>3156</v>
      </c>
      <c r="M1052" s="1" t="str">
        <f>"130929198105304666"</f>
        <v>130929198105304666</v>
      </c>
      <c r="N1052" s="24" t="s">
        <v>3156</v>
      </c>
      <c r="O1052" s="1" t="str">
        <f>"130929198105304666"</f>
        <v>130929198105304666</v>
      </c>
      <c r="P1052" s="23" t="s">
        <v>3157</v>
      </c>
      <c r="Q1052" s="23">
        <v>45077</v>
      </c>
      <c r="R1052" s="32">
        <v>45443</v>
      </c>
      <c r="V1052" s="33">
        <v>200</v>
      </c>
      <c r="W1052" s="28">
        <v>64.29</v>
      </c>
      <c r="X1052" s="34" t="s">
        <v>54</v>
      </c>
      <c r="Y1052" s="33">
        <v>128.58</v>
      </c>
      <c r="AC1052" s="28">
        <v>64.29</v>
      </c>
      <c r="AD1052" s="34" t="s">
        <v>54</v>
      </c>
      <c r="AE1052" s="33">
        <v>128.58</v>
      </c>
      <c r="AN1052" s="7" t="s">
        <v>54</v>
      </c>
      <c r="AO1052" s="7" t="s">
        <v>55</v>
      </c>
      <c r="AP1052" s="7" t="s">
        <v>56</v>
      </c>
      <c r="AT1052" s="47" t="s">
        <v>57</v>
      </c>
      <c r="AU1052" s="47" t="s">
        <v>57</v>
      </c>
    </row>
    <row r="1053" spans="1:47">
      <c r="A1053" s="4" t="s">
        <v>48</v>
      </c>
      <c r="C1053" s="21"/>
      <c r="D1053" s="22" t="s">
        <v>49</v>
      </c>
      <c r="G1053" s="23">
        <v>45095</v>
      </c>
      <c r="H1053" s="24" t="s">
        <v>3158</v>
      </c>
      <c r="J1053" s="28" t="s">
        <v>51</v>
      </c>
      <c r="L1053" s="24" t="s">
        <v>1648</v>
      </c>
      <c r="M1053" s="1" t="str">
        <f>"34122119860203424X"</f>
        <v>34122119860203424X</v>
      </c>
      <c r="N1053" s="24" t="s">
        <v>1648</v>
      </c>
      <c r="O1053" s="1" t="str">
        <f>"34122119860203424X"</f>
        <v>34122119860203424X</v>
      </c>
      <c r="P1053" s="23" t="s">
        <v>3159</v>
      </c>
      <c r="Q1053" s="23">
        <v>45096</v>
      </c>
      <c r="R1053" s="32">
        <v>45462</v>
      </c>
      <c r="V1053" s="33">
        <v>50</v>
      </c>
      <c r="W1053" s="28">
        <v>64.29</v>
      </c>
      <c r="X1053" s="34" t="s">
        <v>54</v>
      </c>
      <c r="Y1053" s="33">
        <v>32.15</v>
      </c>
      <c r="AC1053" s="28">
        <v>64.29</v>
      </c>
      <c r="AD1053" s="34" t="s">
        <v>54</v>
      </c>
      <c r="AE1053" s="33">
        <v>32.15</v>
      </c>
      <c r="AN1053" s="7" t="s">
        <v>54</v>
      </c>
      <c r="AO1053" s="7" t="s">
        <v>55</v>
      </c>
      <c r="AP1053" s="7" t="s">
        <v>56</v>
      </c>
      <c r="AT1053" s="47" t="s">
        <v>57</v>
      </c>
      <c r="AU1053" s="47" t="s">
        <v>57</v>
      </c>
    </row>
    <row r="1054" spans="1:47">
      <c r="A1054" s="4" t="s">
        <v>48</v>
      </c>
      <c r="C1054" s="21"/>
      <c r="D1054" s="22" t="s">
        <v>49</v>
      </c>
      <c r="G1054" s="23">
        <v>45093</v>
      </c>
      <c r="H1054" s="24" t="s">
        <v>3160</v>
      </c>
      <c r="J1054" s="28" t="s">
        <v>51</v>
      </c>
      <c r="L1054" s="24" t="s">
        <v>3161</v>
      </c>
      <c r="M1054" s="1" t="str">
        <f>"341221195911061037"</f>
        <v>341221195911061037</v>
      </c>
      <c r="N1054" s="24" t="s">
        <v>3161</v>
      </c>
      <c r="O1054" s="1" t="str">
        <f>"341221195911061037"</f>
        <v>341221195911061037</v>
      </c>
      <c r="P1054" s="23" t="s">
        <v>3162</v>
      </c>
      <c r="Q1054" s="23">
        <v>45094</v>
      </c>
      <c r="R1054" s="32">
        <v>45460</v>
      </c>
      <c r="V1054" s="33">
        <v>50</v>
      </c>
      <c r="W1054" s="28">
        <v>64.29</v>
      </c>
      <c r="X1054" s="34" t="s">
        <v>54</v>
      </c>
      <c r="Y1054" s="33">
        <v>32.15</v>
      </c>
      <c r="AC1054" s="28">
        <v>64.29</v>
      </c>
      <c r="AD1054" s="34" t="s">
        <v>54</v>
      </c>
      <c r="AE1054" s="33">
        <v>32.15</v>
      </c>
      <c r="AN1054" s="7" t="s">
        <v>54</v>
      </c>
      <c r="AO1054" s="7" t="s">
        <v>55</v>
      </c>
      <c r="AP1054" s="7" t="s">
        <v>56</v>
      </c>
      <c r="AT1054" s="47" t="s">
        <v>57</v>
      </c>
      <c r="AU1054" s="47" t="s">
        <v>57</v>
      </c>
    </row>
    <row r="1055" spans="1:47">
      <c r="A1055" s="4" t="s">
        <v>48</v>
      </c>
      <c r="C1055" s="21"/>
      <c r="D1055" s="22" t="s">
        <v>49</v>
      </c>
      <c r="G1055" s="23">
        <v>45093</v>
      </c>
      <c r="H1055" s="24" t="s">
        <v>3163</v>
      </c>
      <c r="J1055" s="28" t="s">
        <v>51</v>
      </c>
      <c r="L1055" s="24" t="s">
        <v>3164</v>
      </c>
      <c r="M1055" s="1" t="str">
        <f>"341221200010030413"</f>
        <v>341221200010030413</v>
      </c>
      <c r="N1055" s="24" t="s">
        <v>3164</v>
      </c>
      <c r="O1055" s="1" t="str">
        <f>"341221200010030413"</f>
        <v>341221200010030413</v>
      </c>
      <c r="P1055" s="23" t="s">
        <v>3165</v>
      </c>
      <c r="Q1055" s="23">
        <v>45094</v>
      </c>
      <c r="R1055" s="32">
        <v>45460</v>
      </c>
      <c r="V1055" s="33">
        <v>50</v>
      </c>
      <c r="W1055" s="28">
        <v>64.29</v>
      </c>
      <c r="X1055" s="34" t="s">
        <v>54</v>
      </c>
      <c r="Y1055" s="33">
        <v>32.15</v>
      </c>
      <c r="AC1055" s="28">
        <v>64.29</v>
      </c>
      <c r="AD1055" s="34" t="s">
        <v>54</v>
      </c>
      <c r="AE1055" s="33">
        <v>32.15</v>
      </c>
      <c r="AN1055" s="7" t="s">
        <v>54</v>
      </c>
      <c r="AO1055" s="7" t="s">
        <v>55</v>
      </c>
      <c r="AP1055" s="7" t="s">
        <v>56</v>
      </c>
      <c r="AT1055" s="47" t="s">
        <v>57</v>
      </c>
      <c r="AU1055" s="47" t="s">
        <v>57</v>
      </c>
    </row>
    <row r="1056" spans="1:47">
      <c r="A1056" s="4" t="s">
        <v>48</v>
      </c>
      <c r="C1056" s="21"/>
      <c r="D1056" s="22" t="s">
        <v>49</v>
      </c>
      <c r="G1056" s="23">
        <v>45093</v>
      </c>
      <c r="H1056" s="24" t="s">
        <v>3166</v>
      </c>
      <c r="J1056" s="28" t="s">
        <v>51</v>
      </c>
      <c r="L1056" s="24" t="s">
        <v>3167</v>
      </c>
      <c r="M1056" s="1" t="str">
        <f>"341221196610078622"</f>
        <v>341221196610078622</v>
      </c>
      <c r="N1056" s="24" t="s">
        <v>3167</v>
      </c>
      <c r="O1056" s="1" t="str">
        <f>"341221196610078622"</f>
        <v>341221196610078622</v>
      </c>
      <c r="P1056" s="23" t="s">
        <v>3168</v>
      </c>
      <c r="Q1056" s="23">
        <v>45094</v>
      </c>
      <c r="R1056" s="32">
        <v>45460</v>
      </c>
      <c r="V1056" s="33">
        <v>50</v>
      </c>
      <c r="W1056" s="28">
        <v>64.29</v>
      </c>
      <c r="X1056" s="34" t="s">
        <v>54</v>
      </c>
      <c r="Y1056" s="33">
        <v>32.15</v>
      </c>
      <c r="AC1056" s="28">
        <v>64.29</v>
      </c>
      <c r="AD1056" s="34" t="s">
        <v>54</v>
      </c>
      <c r="AE1056" s="33">
        <v>32.15</v>
      </c>
      <c r="AN1056" s="7" t="s">
        <v>54</v>
      </c>
      <c r="AO1056" s="7" t="s">
        <v>55</v>
      </c>
      <c r="AP1056" s="7" t="s">
        <v>56</v>
      </c>
      <c r="AT1056" s="47" t="s">
        <v>57</v>
      </c>
      <c r="AU1056" s="47" t="s">
        <v>57</v>
      </c>
    </row>
    <row r="1057" spans="1:47">
      <c r="A1057" s="4" t="s">
        <v>48</v>
      </c>
      <c r="C1057" s="21"/>
      <c r="D1057" s="22" t="s">
        <v>49</v>
      </c>
      <c r="G1057" s="23">
        <v>45102</v>
      </c>
      <c r="H1057" s="24" t="s">
        <v>3169</v>
      </c>
      <c r="J1057" s="28" t="s">
        <v>51</v>
      </c>
      <c r="L1057" s="24" t="s">
        <v>3170</v>
      </c>
      <c r="M1057" s="1" t="str">
        <f>"341221196910104482"</f>
        <v>341221196910104482</v>
      </c>
      <c r="N1057" s="24" t="s">
        <v>3170</v>
      </c>
      <c r="O1057" s="1" t="str">
        <f>"341221196910104482"</f>
        <v>341221196910104482</v>
      </c>
      <c r="P1057" s="23" t="s">
        <v>3171</v>
      </c>
      <c r="Q1057" s="23">
        <v>45103</v>
      </c>
      <c r="R1057" s="32">
        <v>45469</v>
      </c>
      <c r="V1057" s="33">
        <v>100</v>
      </c>
      <c r="W1057" s="28">
        <v>64.29</v>
      </c>
      <c r="X1057" s="34" t="s">
        <v>54</v>
      </c>
      <c r="Y1057" s="33">
        <v>64.29</v>
      </c>
      <c r="AC1057" s="28">
        <v>64.29</v>
      </c>
      <c r="AD1057" s="34" t="s">
        <v>54</v>
      </c>
      <c r="AE1057" s="33">
        <v>64.29</v>
      </c>
      <c r="AN1057" s="7" t="s">
        <v>54</v>
      </c>
      <c r="AO1057" s="7" t="s">
        <v>55</v>
      </c>
      <c r="AP1057" s="7" t="s">
        <v>56</v>
      </c>
      <c r="AT1057" s="47" t="s">
        <v>57</v>
      </c>
      <c r="AU1057" s="47" t="s">
        <v>57</v>
      </c>
    </row>
    <row r="1058" spans="1:47">
      <c r="A1058" s="4" t="s">
        <v>48</v>
      </c>
      <c r="C1058" s="21"/>
      <c r="D1058" s="22" t="s">
        <v>49</v>
      </c>
      <c r="G1058" s="23">
        <v>45102</v>
      </c>
      <c r="H1058" s="24" t="s">
        <v>3172</v>
      </c>
      <c r="J1058" s="28" t="s">
        <v>51</v>
      </c>
      <c r="L1058" s="24" t="s">
        <v>3173</v>
      </c>
      <c r="M1058" s="1" t="str">
        <f>"341221199505104159"</f>
        <v>341221199505104159</v>
      </c>
      <c r="N1058" s="24" t="s">
        <v>3173</v>
      </c>
      <c r="O1058" s="1" t="str">
        <f>"341221199505104159"</f>
        <v>341221199505104159</v>
      </c>
      <c r="P1058" s="23" t="s">
        <v>3174</v>
      </c>
      <c r="Q1058" s="23">
        <v>45103</v>
      </c>
      <c r="R1058" s="32">
        <v>45469</v>
      </c>
      <c r="V1058" s="33">
        <v>100</v>
      </c>
      <c r="W1058" s="28">
        <v>64.29</v>
      </c>
      <c r="X1058" s="34" t="s">
        <v>54</v>
      </c>
      <c r="Y1058" s="33">
        <v>64.29</v>
      </c>
      <c r="AC1058" s="28">
        <v>64.29</v>
      </c>
      <c r="AD1058" s="34" t="s">
        <v>54</v>
      </c>
      <c r="AE1058" s="33">
        <v>64.29</v>
      </c>
      <c r="AN1058" s="7" t="s">
        <v>54</v>
      </c>
      <c r="AO1058" s="7" t="s">
        <v>55</v>
      </c>
      <c r="AP1058" s="7" t="s">
        <v>56</v>
      </c>
      <c r="AT1058" s="47" t="s">
        <v>57</v>
      </c>
      <c r="AU1058" s="47" t="s">
        <v>57</v>
      </c>
    </row>
    <row r="1059" spans="1:47">
      <c r="A1059" s="4" t="s">
        <v>48</v>
      </c>
      <c r="C1059" s="21"/>
      <c r="D1059" s="22" t="s">
        <v>49</v>
      </c>
      <c r="G1059" s="23">
        <v>45090</v>
      </c>
      <c r="H1059" s="24" t="s">
        <v>3175</v>
      </c>
      <c r="J1059" s="28" t="s">
        <v>51</v>
      </c>
      <c r="L1059" s="24" t="s">
        <v>3176</v>
      </c>
      <c r="M1059" s="1" t="str">
        <f>"132425197403287133"</f>
        <v>132425197403287133</v>
      </c>
      <c r="N1059" s="24" t="s">
        <v>3176</v>
      </c>
      <c r="O1059" s="1" t="str">
        <f>"132425197403287133"</f>
        <v>132425197403287133</v>
      </c>
      <c r="P1059" s="23" t="s">
        <v>3177</v>
      </c>
      <c r="Q1059" s="23">
        <v>45091</v>
      </c>
      <c r="R1059" s="32">
        <v>45457</v>
      </c>
      <c r="V1059" s="33">
        <v>100</v>
      </c>
      <c r="W1059" s="28">
        <v>64.29</v>
      </c>
      <c r="X1059" s="34" t="s">
        <v>54</v>
      </c>
      <c r="Y1059" s="33">
        <v>64.29</v>
      </c>
      <c r="AC1059" s="28">
        <v>64.29</v>
      </c>
      <c r="AD1059" s="34" t="s">
        <v>54</v>
      </c>
      <c r="AE1059" s="33">
        <v>64.29</v>
      </c>
      <c r="AN1059" s="7" t="s">
        <v>54</v>
      </c>
      <c r="AO1059" s="7" t="s">
        <v>55</v>
      </c>
      <c r="AP1059" s="7" t="s">
        <v>56</v>
      </c>
      <c r="AT1059" s="47" t="s">
        <v>57</v>
      </c>
      <c r="AU1059" s="47" t="s">
        <v>57</v>
      </c>
    </row>
    <row r="1060" spans="1:47">
      <c r="A1060" s="4" t="s">
        <v>48</v>
      </c>
      <c r="C1060" s="21"/>
      <c r="D1060" s="22" t="s">
        <v>49</v>
      </c>
      <c r="G1060" s="23">
        <v>45090</v>
      </c>
      <c r="H1060" s="24" t="s">
        <v>3178</v>
      </c>
      <c r="J1060" s="28" t="s">
        <v>51</v>
      </c>
      <c r="L1060" s="24" t="s">
        <v>3179</v>
      </c>
      <c r="M1060" s="1" t="str">
        <f>"23070419940411001X"</f>
        <v>23070419940411001X</v>
      </c>
      <c r="N1060" s="24" t="s">
        <v>3179</v>
      </c>
      <c r="O1060" s="1" t="str">
        <f>"23070419940411001X"</f>
        <v>23070419940411001X</v>
      </c>
      <c r="P1060" s="23" t="s">
        <v>3180</v>
      </c>
      <c r="Q1060" s="23">
        <v>45091</v>
      </c>
      <c r="R1060" s="32">
        <v>45457</v>
      </c>
      <c r="V1060" s="33">
        <v>100</v>
      </c>
      <c r="W1060" s="28">
        <v>64.29</v>
      </c>
      <c r="X1060" s="34" t="s">
        <v>54</v>
      </c>
      <c r="Y1060" s="33">
        <v>64.29</v>
      </c>
      <c r="AC1060" s="28">
        <v>64.29</v>
      </c>
      <c r="AD1060" s="34" t="s">
        <v>54</v>
      </c>
      <c r="AE1060" s="33">
        <v>64.29</v>
      </c>
      <c r="AN1060" s="7" t="s">
        <v>54</v>
      </c>
      <c r="AO1060" s="7" t="s">
        <v>55</v>
      </c>
      <c r="AP1060" s="7" t="s">
        <v>56</v>
      </c>
      <c r="AT1060" s="47" t="s">
        <v>57</v>
      </c>
      <c r="AU1060" s="47" t="s">
        <v>57</v>
      </c>
    </row>
    <row r="1061" spans="1:47">
      <c r="A1061" s="4" t="s">
        <v>48</v>
      </c>
      <c r="C1061" s="21"/>
      <c r="D1061" s="22" t="s">
        <v>49</v>
      </c>
      <c r="G1061" s="23">
        <v>45090</v>
      </c>
      <c r="H1061" s="24" t="s">
        <v>3181</v>
      </c>
      <c r="J1061" s="28" t="s">
        <v>51</v>
      </c>
      <c r="L1061" s="24" t="s">
        <v>3182</v>
      </c>
      <c r="M1061" s="1" t="str">
        <f>"132924196710200487"</f>
        <v>132924196710200487</v>
      </c>
      <c r="N1061" s="24" t="s">
        <v>3182</v>
      </c>
      <c r="O1061" s="1" t="str">
        <f>"132924196710200487"</f>
        <v>132924196710200487</v>
      </c>
      <c r="P1061" s="23" t="s">
        <v>3183</v>
      </c>
      <c r="Q1061" s="23">
        <v>45091</v>
      </c>
      <c r="R1061" s="32">
        <v>45457</v>
      </c>
      <c r="V1061" s="33">
        <v>100</v>
      </c>
      <c r="W1061" s="28">
        <v>64.29</v>
      </c>
      <c r="X1061" s="34" t="s">
        <v>54</v>
      </c>
      <c r="Y1061" s="33">
        <v>64.29</v>
      </c>
      <c r="AC1061" s="28">
        <v>64.29</v>
      </c>
      <c r="AD1061" s="34" t="s">
        <v>54</v>
      </c>
      <c r="AE1061" s="33">
        <v>64.29</v>
      </c>
      <c r="AN1061" s="7" t="s">
        <v>54</v>
      </c>
      <c r="AO1061" s="7" t="s">
        <v>55</v>
      </c>
      <c r="AP1061" s="7" t="s">
        <v>56</v>
      </c>
      <c r="AT1061" s="47" t="s">
        <v>57</v>
      </c>
      <c r="AU1061" s="47" t="s">
        <v>57</v>
      </c>
    </row>
    <row r="1062" spans="1:47">
      <c r="A1062" s="4" t="s">
        <v>48</v>
      </c>
      <c r="C1062" s="21"/>
      <c r="D1062" s="22" t="s">
        <v>49</v>
      </c>
      <c r="G1062" s="23">
        <v>45090</v>
      </c>
      <c r="H1062" s="24" t="s">
        <v>3184</v>
      </c>
      <c r="J1062" s="28" t="s">
        <v>51</v>
      </c>
      <c r="L1062" s="24" t="s">
        <v>3185</v>
      </c>
      <c r="M1062" s="1" t="str">
        <f>"341221198112133122"</f>
        <v>341221198112133122</v>
      </c>
      <c r="N1062" s="24" t="s">
        <v>3185</v>
      </c>
      <c r="O1062" s="1" t="str">
        <f>"341221198112133122"</f>
        <v>341221198112133122</v>
      </c>
      <c r="P1062" s="23" t="s">
        <v>3186</v>
      </c>
      <c r="Q1062" s="23">
        <v>45213</v>
      </c>
      <c r="R1062" s="32">
        <v>45579</v>
      </c>
      <c r="V1062" s="33">
        <v>100</v>
      </c>
      <c r="W1062" s="28">
        <v>64.29</v>
      </c>
      <c r="X1062" s="34" t="s">
        <v>54</v>
      </c>
      <c r="Y1062" s="33">
        <v>64.29</v>
      </c>
      <c r="AC1062" s="28">
        <v>64.29</v>
      </c>
      <c r="AD1062" s="34" t="s">
        <v>54</v>
      </c>
      <c r="AE1062" s="33">
        <v>64.29</v>
      </c>
      <c r="AN1062" s="7" t="s">
        <v>54</v>
      </c>
      <c r="AO1062" s="7" t="s">
        <v>55</v>
      </c>
      <c r="AP1062" s="7" t="s">
        <v>56</v>
      </c>
      <c r="AT1062" s="47" t="s">
        <v>57</v>
      </c>
      <c r="AU1062" s="47" t="s">
        <v>57</v>
      </c>
    </row>
    <row r="1063" spans="1:47">
      <c r="A1063" s="4" t="s">
        <v>48</v>
      </c>
      <c r="C1063" s="21"/>
      <c r="D1063" s="22" t="s">
        <v>49</v>
      </c>
      <c r="G1063" s="23">
        <v>45078</v>
      </c>
      <c r="H1063" s="24" t="s">
        <v>3187</v>
      </c>
      <c r="J1063" s="28" t="s">
        <v>51</v>
      </c>
      <c r="L1063" s="24" t="s">
        <v>992</v>
      </c>
      <c r="M1063" s="1" t="str">
        <f>"130929199003125741"</f>
        <v>130929199003125741</v>
      </c>
      <c r="N1063" s="24" t="s">
        <v>992</v>
      </c>
      <c r="O1063" s="1" t="str">
        <f>"130929199003125741"</f>
        <v>130929199003125741</v>
      </c>
      <c r="P1063" s="23" t="s">
        <v>3188</v>
      </c>
      <c r="Q1063" s="23">
        <v>45092</v>
      </c>
      <c r="R1063" s="32">
        <v>45458</v>
      </c>
      <c r="V1063" s="33">
        <v>100</v>
      </c>
      <c r="W1063" s="28">
        <v>64.29</v>
      </c>
      <c r="X1063" s="34" t="s">
        <v>54</v>
      </c>
      <c r="Y1063" s="33">
        <v>64.29</v>
      </c>
      <c r="AC1063" s="28">
        <v>64.29</v>
      </c>
      <c r="AD1063" s="34" t="s">
        <v>54</v>
      </c>
      <c r="AE1063" s="33">
        <v>64.29</v>
      </c>
      <c r="AN1063" s="7" t="s">
        <v>54</v>
      </c>
      <c r="AO1063" s="7" t="s">
        <v>55</v>
      </c>
      <c r="AP1063" s="7" t="s">
        <v>56</v>
      </c>
      <c r="AT1063" s="47" t="s">
        <v>57</v>
      </c>
      <c r="AU1063" s="47" t="s">
        <v>57</v>
      </c>
    </row>
    <row r="1064" spans="1:47">
      <c r="A1064" s="4" t="s">
        <v>48</v>
      </c>
      <c r="C1064" s="21"/>
      <c r="D1064" s="22" t="s">
        <v>49</v>
      </c>
      <c r="G1064" s="23">
        <v>45076</v>
      </c>
      <c r="H1064" s="24" t="s">
        <v>3189</v>
      </c>
      <c r="J1064" s="28" t="s">
        <v>51</v>
      </c>
      <c r="L1064" s="24" t="s">
        <v>3190</v>
      </c>
      <c r="M1064" s="1" t="str">
        <f>"341221198509041322"</f>
        <v>341221198509041322</v>
      </c>
      <c r="N1064" s="24" t="s">
        <v>3190</v>
      </c>
      <c r="O1064" s="1" t="str">
        <f>"341221198509041322"</f>
        <v>341221198509041322</v>
      </c>
      <c r="P1064" s="23" t="s">
        <v>3191</v>
      </c>
      <c r="Q1064" s="23">
        <v>45077</v>
      </c>
      <c r="R1064" s="32">
        <v>45443</v>
      </c>
      <c r="V1064" s="33">
        <v>100</v>
      </c>
      <c r="W1064" s="28">
        <v>64.29</v>
      </c>
      <c r="X1064" s="34" t="s">
        <v>54</v>
      </c>
      <c r="Y1064" s="33">
        <v>64.29</v>
      </c>
      <c r="AC1064" s="28">
        <v>64.29</v>
      </c>
      <c r="AD1064" s="34" t="s">
        <v>54</v>
      </c>
      <c r="AE1064" s="33">
        <v>64.29</v>
      </c>
      <c r="AN1064" s="7" t="s">
        <v>54</v>
      </c>
      <c r="AO1064" s="7" t="s">
        <v>55</v>
      </c>
      <c r="AP1064" s="7" t="s">
        <v>56</v>
      </c>
      <c r="AT1064" s="47" t="s">
        <v>57</v>
      </c>
      <c r="AU1064" s="47" t="s">
        <v>57</v>
      </c>
    </row>
    <row r="1065" spans="1:47">
      <c r="A1065" s="4" t="s">
        <v>48</v>
      </c>
      <c r="C1065" s="21"/>
      <c r="D1065" s="22" t="s">
        <v>49</v>
      </c>
      <c r="G1065" s="23">
        <v>45077</v>
      </c>
      <c r="H1065" s="24" t="s">
        <v>3192</v>
      </c>
      <c r="J1065" s="28" t="s">
        <v>51</v>
      </c>
      <c r="L1065" s="24" t="s">
        <v>3193</v>
      </c>
      <c r="M1065" s="1" t="str">
        <f>"341221199102275236"</f>
        <v>341221199102275236</v>
      </c>
      <c r="N1065" s="24" t="s">
        <v>3193</v>
      </c>
      <c r="O1065" s="1" t="str">
        <f>"341221199102275236"</f>
        <v>341221199102275236</v>
      </c>
      <c r="P1065" s="23" t="s">
        <v>3194</v>
      </c>
      <c r="Q1065" s="23">
        <v>45200</v>
      </c>
      <c r="R1065" s="32">
        <v>45566</v>
      </c>
      <c r="V1065" s="33">
        <v>100</v>
      </c>
      <c r="W1065" s="28">
        <v>64.29</v>
      </c>
      <c r="X1065" s="34" t="s">
        <v>54</v>
      </c>
      <c r="Y1065" s="33">
        <v>64.29</v>
      </c>
      <c r="AC1065" s="28">
        <v>64.29</v>
      </c>
      <c r="AD1065" s="34" t="s">
        <v>54</v>
      </c>
      <c r="AE1065" s="33">
        <v>64.29</v>
      </c>
      <c r="AN1065" s="7" t="s">
        <v>54</v>
      </c>
      <c r="AO1065" s="7" t="s">
        <v>55</v>
      </c>
      <c r="AP1065" s="7" t="s">
        <v>56</v>
      </c>
      <c r="AT1065" s="47" t="s">
        <v>57</v>
      </c>
      <c r="AU1065" s="47" t="s">
        <v>57</v>
      </c>
    </row>
    <row r="1066" spans="1:47">
      <c r="A1066" s="4" t="s">
        <v>48</v>
      </c>
      <c r="C1066" s="21"/>
      <c r="D1066" s="22" t="s">
        <v>49</v>
      </c>
      <c r="G1066" s="23">
        <v>45078</v>
      </c>
      <c r="H1066" s="24" t="s">
        <v>3195</v>
      </c>
      <c r="J1066" s="28" t="s">
        <v>51</v>
      </c>
      <c r="L1066" s="24" t="s">
        <v>2360</v>
      </c>
      <c r="M1066" s="1" t="str">
        <f>"341221198701231775"</f>
        <v>341221198701231775</v>
      </c>
      <c r="N1066" s="24" t="s">
        <v>2360</v>
      </c>
      <c r="O1066" s="1" t="str">
        <f>"341221198701231775"</f>
        <v>341221198701231775</v>
      </c>
      <c r="P1066" s="23" t="s">
        <v>3196</v>
      </c>
      <c r="Q1066" s="23">
        <v>45093</v>
      </c>
      <c r="R1066" s="32">
        <v>45459</v>
      </c>
      <c r="V1066" s="33">
        <v>100</v>
      </c>
      <c r="W1066" s="28">
        <v>64.29</v>
      </c>
      <c r="X1066" s="34" t="s">
        <v>54</v>
      </c>
      <c r="Y1066" s="33">
        <v>64.29</v>
      </c>
      <c r="AC1066" s="28">
        <v>64.29</v>
      </c>
      <c r="AD1066" s="34" t="s">
        <v>54</v>
      </c>
      <c r="AE1066" s="33">
        <v>64.29</v>
      </c>
      <c r="AN1066" s="7" t="s">
        <v>54</v>
      </c>
      <c r="AO1066" s="7" t="s">
        <v>55</v>
      </c>
      <c r="AP1066" s="7" t="s">
        <v>56</v>
      </c>
      <c r="AT1066" s="47" t="s">
        <v>57</v>
      </c>
      <c r="AU1066" s="47" t="s">
        <v>57</v>
      </c>
    </row>
    <row r="1067" spans="1:47">
      <c r="A1067" s="4" t="s">
        <v>48</v>
      </c>
      <c r="C1067" s="21"/>
      <c r="D1067" s="22" t="s">
        <v>49</v>
      </c>
      <c r="G1067" s="23">
        <v>45089</v>
      </c>
      <c r="H1067" s="24" t="s">
        <v>3197</v>
      </c>
      <c r="J1067" s="28" t="s">
        <v>51</v>
      </c>
      <c r="L1067" s="24" t="s">
        <v>3198</v>
      </c>
      <c r="M1067" s="1" t="str">
        <f>"132924196302230329"</f>
        <v>132924196302230329</v>
      </c>
      <c r="N1067" s="24" t="s">
        <v>3198</v>
      </c>
      <c r="O1067" s="1" t="str">
        <f>"132924196302230329"</f>
        <v>132924196302230329</v>
      </c>
      <c r="P1067" s="23" t="s">
        <v>3199</v>
      </c>
      <c r="Q1067" s="23">
        <v>45090</v>
      </c>
      <c r="R1067" s="32">
        <v>45456</v>
      </c>
      <c r="V1067" s="33">
        <v>300</v>
      </c>
      <c r="W1067" s="28">
        <v>64.29</v>
      </c>
      <c r="X1067" s="34" t="s">
        <v>54</v>
      </c>
      <c r="Y1067" s="33">
        <v>192.87</v>
      </c>
      <c r="AC1067" s="28">
        <v>64.29</v>
      </c>
      <c r="AD1067" s="34" t="s">
        <v>54</v>
      </c>
      <c r="AE1067" s="33">
        <v>192.87</v>
      </c>
      <c r="AN1067" s="7" t="s">
        <v>54</v>
      </c>
      <c r="AO1067" s="7" t="s">
        <v>55</v>
      </c>
      <c r="AP1067" s="7" t="s">
        <v>56</v>
      </c>
      <c r="AT1067" s="47" t="s">
        <v>57</v>
      </c>
      <c r="AU1067" s="47" t="s">
        <v>57</v>
      </c>
    </row>
    <row r="1068" spans="1:47">
      <c r="A1068" s="4" t="s">
        <v>48</v>
      </c>
      <c r="C1068" s="21"/>
      <c r="D1068" s="22" t="s">
        <v>49</v>
      </c>
      <c r="G1068" s="23">
        <v>45089</v>
      </c>
      <c r="H1068" s="24" t="s">
        <v>3200</v>
      </c>
      <c r="J1068" s="28" t="s">
        <v>51</v>
      </c>
      <c r="L1068" s="24" t="s">
        <v>3201</v>
      </c>
      <c r="M1068" s="1" t="str">
        <f>"341221197710090615"</f>
        <v>341221197710090615</v>
      </c>
      <c r="N1068" s="24" t="s">
        <v>3201</v>
      </c>
      <c r="O1068" s="1" t="str">
        <f>"341221197710090615"</f>
        <v>341221197710090615</v>
      </c>
      <c r="P1068" s="23" t="s">
        <v>3202</v>
      </c>
      <c r="Q1068" s="23">
        <v>45090</v>
      </c>
      <c r="R1068" s="32">
        <v>45456</v>
      </c>
      <c r="V1068" s="33">
        <v>300</v>
      </c>
      <c r="W1068" s="28">
        <v>64.29</v>
      </c>
      <c r="X1068" s="34" t="s">
        <v>54</v>
      </c>
      <c r="Y1068" s="33">
        <v>192.87</v>
      </c>
      <c r="AC1068" s="28">
        <v>64.29</v>
      </c>
      <c r="AD1068" s="34" t="s">
        <v>54</v>
      </c>
      <c r="AE1068" s="33">
        <v>192.87</v>
      </c>
      <c r="AN1068" s="7" t="s">
        <v>54</v>
      </c>
      <c r="AO1068" s="7" t="s">
        <v>55</v>
      </c>
      <c r="AP1068" s="7" t="s">
        <v>56</v>
      </c>
      <c r="AT1068" s="47" t="s">
        <v>57</v>
      </c>
      <c r="AU1068" s="47" t="s">
        <v>57</v>
      </c>
    </row>
    <row r="1069" spans="1:47">
      <c r="A1069" s="4" t="s">
        <v>48</v>
      </c>
      <c r="C1069" s="21"/>
      <c r="D1069" s="22" t="s">
        <v>49</v>
      </c>
      <c r="G1069" s="23">
        <v>45086</v>
      </c>
      <c r="H1069" s="24" t="s">
        <v>3203</v>
      </c>
      <c r="J1069" s="28" t="s">
        <v>51</v>
      </c>
      <c r="L1069" s="24" t="s">
        <v>186</v>
      </c>
      <c r="M1069" s="1" t="str">
        <f>"341221198608104683"</f>
        <v>341221198608104683</v>
      </c>
      <c r="N1069" s="24" t="s">
        <v>186</v>
      </c>
      <c r="O1069" s="1" t="str">
        <f>"341221198608104683"</f>
        <v>341221198608104683</v>
      </c>
      <c r="P1069" s="23" t="s">
        <v>3204</v>
      </c>
      <c r="Q1069" s="23">
        <v>45087</v>
      </c>
      <c r="R1069" s="32">
        <v>45453</v>
      </c>
      <c r="V1069" s="33">
        <v>300</v>
      </c>
      <c r="W1069" s="28">
        <v>64.29</v>
      </c>
      <c r="X1069" s="34" t="s">
        <v>54</v>
      </c>
      <c r="Y1069" s="33">
        <v>192.87</v>
      </c>
      <c r="AC1069" s="28">
        <v>64.29</v>
      </c>
      <c r="AD1069" s="34" t="s">
        <v>54</v>
      </c>
      <c r="AE1069" s="33">
        <v>192.87</v>
      </c>
      <c r="AN1069" s="7" t="s">
        <v>54</v>
      </c>
      <c r="AO1069" s="7" t="s">
        <v>55</v>
      </c>
      <c r="AP1069" s="7" t="s">
        <v>56</v>
      </c>
      <c r="AT1069" s="47" t="s">
        <v>57</v>
      </c>
      <c r="AU1069" s="47" t="s">
        <v>57</v>
      </c>
    </row>
    <row r="1070" spans="1:47">
      <c r="A1070" s="4" t="s">
        <v>48</v>
      </c>
      <c r="C1070" s="21"/>
      <c r="D1070" s="22" t="s">
        <v>49</v>
      </c>
      <c r="G1070" s="23">
        <v>45095</v>
      </c>
      <c r="H1070" s="24" t="s">
        <v>3205</v>
      </c>
      <c r="J1070" s="28" t="s">
        <v>51</v>
      </c>
      <c r="L1070" s="24" t="s">
        <v>3206</v>
      </c>
      <c r="M1070" s="1" t="str">
        <f>"341221199303034455"</f>
        <v>341221199303034455</v>
      </c>
      <c r="N1070" s="24" t="s">
        <v>3206</v>
      </c>
      <c r="O1070" s="1" t="str">
        <f>"341221199303034455"</f>
        <v>341221199303034455</v>
      </c>
      <c r="P1070" s="23" t="s">
        <v>3207</v>
      </c>
      <c r="Q1070" s="23">
        <v>45096</v>
      </c>
      <c r="R1070" s="32">
        <v>45462</v>
      </c>
      <c r="V1070" s="33">
        <v>50</v>
      </c>
      <c r="W1070" s="28">
        <v>64.29</v>
      </c>
      <c r="X1070" s="34" t="s">
        <v>54</v>
      </c>
      <c r="Y1070" s="33">
        <v>32.15</v>
      </c>
      <c r="AC1070" s="28">
        <v>64.29</v>
      </c>
      <c r="AD1070" s="34" t="s">
        <v>54</v>
      </c>
      <c r="AE1070" s="33">
        <v>32.15</v>
      </c>
      <c r="AN1070" s="7" t="s">
        <v>54</v>
      </c>
      <c r="AO1070" s="7" t="s">
        <v>55</v>
      </c>
      <c r="AP1070" s="7" t="s">
        <v>56</v>
      </c>
      <c r="AT1070" s="47" t="s">
        <v>57</v>
      </c>
      <c r="AU1070" s="47" t="s">
        <v>57</v>
      </c>
    </row>
    <row r="1071" spans="1:47">
      <c r="A1071" s="4" t="s">
        <v>48</v>
      </c>
      <c r="C1071" s="21"/>
      <c r="D1071" s="22" t="s">
        <v>49</v>
      </c>
      <c r="G1071" s="23">
        <v>45095</v>
      </c>
      <c r="H1071" s="24" t="s">
        <v>3208</v>
      </c>
      <c r="J1071" s="28" t="s">
        <v>51</v>
      </c>
      <c r="L1071" s="24" t="s">
        <v>3209</v>
      </c>
      <c r="M1071" s="1" t="str">
        <f>"130731198605270336"</f>
        <v>130731198605270336</v>
      </c>
      <c r="N1071" s="24" t="s">
        <v>3209</v>
      </c>
      <c r="O1071" s="1" t="str">
        <f>"130731198605270336"</f>
        <v>130731198605270336</v>
      </c>
      <c r="P1071" s="23" t="s">
        <v>3210</v>
      </c>
      <c r="Q1071" s="23">
        <v>45096</v>
      </c>
      <c r="R1071" s="32">
        <v>45462</v>
      </c>
      <c r="V1071" s="33">
        <v>50</v>
      </c>
      <c r="W1071" s="28">
        <v>64.29</v>
      </c>
      <c r="X1071" s="34" t="s">
        <v>54</v>
      </c>
      <c r="Y1071" s="33">
        <v>32.15</v>
      </c>
      <c r="AC1071" s="28">
        <v>64.29</v>
      </c>
      <c r="AD1071" s="34" t="s">
        <v>54</v>
      </c>
      <c r="AE1071" s="33">
        <v>32.15</v>
      </c>
      <c r="AN1071" s="7" t="s">
        <v>54</v>
      </c>
      <c r="AO1071" s="7" t="s">
        <v>55</v>
      </c>
      <c r="AP1071" s="7" t="s">
        <v>56</v>
      </c>
      <c r="AT1071" s="47" t="s">
        <v>57</v>
      </c>
      <c r="AU1071" s="47" t="s">
        <v>57</v>
      </c>
    </row>
    <row r="1072" spans="1:47">
      <c r="A1072" s="4" t="s">
        <v>48</v>
      </c>
      <c r="C1072" s="21"/>
      <c r="D1072" s="22" t="s">
        <v>49</v>
      </c>
      <c r="G1072" s="23">
        <v>45090</v>
      </c>
      <c r="H1072" s="24" t="s">
        <v>3211</v>
      </c>
      <c r="J1072" s="28" t="s">
        <v>51</v>
      </c>
      <c r="L1072" s="24" t="s">
        <v>3212</v>
      </c>
      <c r="M1072" s="1" t="str">
        <f>"342128195808156214"</f>
        <v>342128195808156214</v>
      </c>
      <c r="N1072" s="24" t="s">
        <v>3212</v>
      </c>
      <c r="O1072" s="1" t="str">
        <f>"342128195808156214"</f>
        <v>342128195808156214</v>
      </c>
      <c r="P1072" s="23" t="s">
        <v>3213</v>
      </c>
      <c r="Q1072" s="23">
        <v>45091</v>
      </c>
      <c r="R1072" s="32">
        <v>45457</v>
      </c>
      <c r="V1072" s="33">
        <v>50</v>
      </c>
      <c r="W1072" s="28">
        <v>64.29</v>
      </c>
      <c r="X1072" s="34" t="s">
        <v>54</v>
      </c>
      <c r="Y1072" s="33">
        <v>32.15</v>
      </c>
      <c r="AC1072" s="28">
        <v>64.29</v>
      </c>
      <c r="AD1072" s="34" t="s">
        <v>54</v>
      </c>
      <c r="AE1072" s="33">
        <v>32.15</v>
      </c>
      <c r="AN1072" s="7" t="s">
        <v>54</v>
      </c>
      <c r="AO1072" s="7" t="s">
        <v>55</v>
      </c>
      <c r="AP1072" s="7" t="s">
        <v>56</v>
      </c>
      <c r="AT1072" s="47" t="s">
        <v>57</v>
      </c>
      <c r="AU1072" s="47" t="s">
        <v>57</v>
      </c>
    </row>
    <row r="1073" spans="1:47">
      <c r="A1073" s="4" t="s">
        <v>48</v>
      </c>
      <c r="C1073" s="21"/>
      <c r="D1073" s="22" t="s">
        <v>49</v>
      </c>
      <c r="G1073" s="23">
        <v>45102</v>
      </c>
      <c r="H1073" s="24" t="s">
        <v>3214</v>
      </c>
      <c r="J1073" s="28" t="s">
        <v>51</v>
      </c>
      <c r="L1073" s="24" t="s">
        <v>3215</v>
      </c>
      <c r="M1073" s="1" t="str">
        <f>"341203198607070327"</f>
        <v>341203198607070327</v>
      </c>
      <c r="N1073" s="24" t="s">
        <v>3215</v>
      </c>
      <c r="O1073" s="1" t="str">
        <f>"341203198607070327"</f>
        <v>341203198607070327</v>
      </c>
      <c r="P1073" s="23" t="s">
        <v>3216</v>
      </c>
      <c r="Q1073" s="23">
        <v>45103</v>
      </c>
      <c r="R1073" s="32">
        <v>45469</v>
      </c>
      <c r="V1073" s="33">
        <v>100</v>
      </c>
      <c r="W1073" s="28">
        <v>64.29</v>
      </c>
      <c r="X1073" s="34" t="s">
        <v>54</v>
      </c>
      <c r="Y1073" s="33">
        <v>64.29</v>
      </c>
      <c r="AC1073" s="28">
        <v>64.29</v>
      </c>
      <c r="AD1073" s="34" t="s">
        <v>54</v>
      </c>
      <c r="AE1073" s="33">
        <v>64.29</v>
      </c>
      <c r="AN1073" s="7" t="s">
        <v>54</v>
      </c>
      <c r="AO1073" s="7" t="s">
        <v>55</v>
      </c>
      <c r="AP1073" s="7" t="s">
        <v>56</v>
      </c>
      <c r="AT1073" s="47" t="s">
        <v>57</v>
      </c>
      <c r="AU1073" s="47" t="s">
        <v>57</v>
      </c>
    </row>
    <row r="1074" spans="1:47">
      <c r="A1074" s="4" t="s">
        <v>48</v>
      </c>
      <c r="C1074" s="21"/>
      <c r="D1074" s="22" t="s">
        <v>49</v>
      </c>
      <c r="G1074" s="23">
        <v>45102</v>
      </c>
      <c r="H1074" s="24" t="s">
        <v>3217</v>
      </c>
      <c r="J1074" s="28" t="s">
        <v>51</v>
      </c>
      <c r="L1074" s="24" t="s">
        <v>3218</v>
      </c>
      <c r="M1074" s="1" t="str">
        <f>"341204198111200825"</f>
        <v>341204198111200825</v>
      </c>
      <c r="N1074" s="24" t="s">
        <v>3218</v>
      </c>
      <c r="O1074" s="1" t="str">
        <f>"341204198111200825"</f>
        <v>341204198111200825</v>
      </c>
      <c r="P1074" s="23" t="s">
        <v>3219</v>
      </c>
      <c r="Q1074" s="23">
        <v>45313</v>
      </c>
      <c r="R1074" s="32">
        <v>45679</v>
      </c>
      <c r="V1074" s="33">
        <v>100</v>
      </c>
      <c r="W1074" s="28">
        <v>64.29</v>
      </c>
      <c r="X1074" s="34" t="s">
        <v>54</v>
      </c>
      <c r="Y1074" s="33">
        <v>64.29</v>
      </c>
      <c r="AC1074" s="28">
        <v>64.29</v>
      </c>
      <c r="AD1074" s="34" t="s">
        <v>54</v>
      </c>
      <c r="AE1074" s="33">
        <v>64.29</v>
      </c>
      <c r="AN1074" s="7" t="s">
        <v>54</v>
      </c>
      <c r="AO1074" s="7" t="s">
        <v>55</v>
      </c>
      <c r="AP1074" s="7" t="s">
        <v>56</v>
      </c>
      <c r="AT1074" s="47" t="s">
        <v>57</v>
      </c>
      <c r="AU1074" s="47" t="s">
        <v>57</v>
      </c>
    </row>
    <row r="1075" spans="1:47">
      <c r="A1075" s="4" t="s">
        <v>48</v>
      </c>
      <c r="C1075" s="21"/>
      <c r="D1075" s="22" t="s">
        <v>49</v>
      </c>
      <c r="G1075" s="23">
        <v>45102</v>
      </c>
      <c r="H1075" s="24" t="s">
        <v>3220</v>
      </c>
      <c r="J1075" s="28" t="s">
        <v>51</v>
      </c>
      <c r="L1075" s="24" t="s">
        <v>3221</v>
      </c>
      <c r="M1075" s="1" t="str">
        <f>"342101196703162014"</f>
        <v>342101196703162014</v>
      </c>
      <c r="N1075" s="24" t="s">
        <v>3221</v>
      </c>
      <c r="O1075" s="1" t="str">
        <f>"342101196703162014"</f>
        <v>342101196703162014</v>
      </c>
      <c r="P1075" s="23" t="s">
        <v>3222</v>
      </c>
      <c r="Q1075" s="23">
        <v>45103</v>
      </c>
      <c r="R1075" s="32">
        <v>45469</v>
      </c>
      <c r="V1075" s="33">
        <v>100</v>
      </c>
      <c r="W1075" s="28">
        <v>64.29</v>
      </c>
      <c r="X1075" s="34" t="s">
        <v>54</v>
      </c>
      <c r="Y1075" s="33">
        <v>64.29</v>
      </c>
      <c r="AC1075" s="28">
        <v>64.29</v>
      </c>
      <c r="AD1075" s="34" t="s">
        <v>54</v>
      </c>
      <c r="AE1075" s="33">
        <v>64.29</v>
      </c>
      <c r="AN1075" s="7" t="s">
        <v>54</v>
      </c>
      <c r="AO1075" s="7" t="s">
        <v>55</v>
      </c>
      <c r="AP1075" s="7" t="s">
        <v>56</v>
      </c>
      <c r="AT1075" s="47" t="s">
        <v>57</v>
      </c>
      <c r="AU1075" s="47" t="s">
        <v>57</v>
      </c>
    </row>
    <row r="1076" spans="1:47">
      <c r="A1076" s="4" t="s">
        <v>48</v>
      </c>
      <c r="C1076" s="21"/>
      <c r="D1076" s="22" t="s">
        <v>49</v>
      </c>
      <c r="G1076" s="23">
        <v>45102</v>
      </c>
      <c r="H1076" s="24" t="s">
        <v>3223</v>
      </c>
      <c r="J1076" s="28" t="s">
        <v>51</v>
      </c>
      <c r="L1076" s="24" t="s">
        <v>3224</v>
      </c>
      <c r="M1076" s="1" t="str">
        <f>"34120419810623123X"</f>
        <v>34120419810623123X</v>
      </c>
      <c r="N1076" s="24" t="s">
        <v>3224</v>
      </c>
      <c r="O1076" s="1" t="str">
        <f>"34120419810623123X"</f>
        <v>34120419810623123X</v>
      </c>
      <c r="P1076" s="23" t="s">
        <v>3225</v>
      </c>
      <c r="Q1076" s="23">
        <v>45103</v>
      </c>
      <c r="R1076" s="32">
        <v>45469</v>
      </c>
      <c r="V1076" s="33">
        <v>100</v>
      </c>
      <c r="W1076" s="28">
        <v>64.29</v>
      </c>
      <c r="X1076" s="34" t="s">
        <v>54</v>
      </c>
      <c r="Y1076" s="33">
        <v>64.29</v>
      </c>
      <c r="AC1076" s="28">
        <v>64.29</v>
      </c>
      <c r="AD1076" s="34" t="s">
        <v>54</v>
      </c>
      <c r="AE1076" s="33">
        <v>64.29</v>
      </c>
      <c r="AN1076" s="7" t="s">
        <v>54</v>
      </c>
      <c r="AO1076" s="7" t="s">
        <v>55</v>
      </c>
      <c r="AP1076" s="7" t="s">
        <v>56</v>
      </c>
      <c r="AT1076" s="47" t="s">
        <v>57</v>
      </c>
      <c r="AU1076" s="47" t="s">
        <v>57</v>
      </c>
    </row>
    <row r="1077" spans="1:47">
      <c r="A1077" s="4" t="s">
        <v>48</v>
      </c>
      <c r="C1077" s="21"/>
      <c r="D1077" s="22" t="s">
        <v>49</v>
      </c>
      <c r="G1077" s="23">
        <v>45102</v>
      </c>
      <c r="H1077" s="24" t="s">
        <v>3226</v>
      </c>
      <c r="J1077" s="28" t="s">
        <v>51</v>
      </c>
      <c r="L1077" s="24" t="s">
        <v>3227</v>
      </c>
      <c r="M1077" s="1" t="str">
        <f>"341204197208110864"</f>
        <v>341204197208110864</v>
      </c>
      <c r="N1077" s="24" t="s">
        <v>3227</v>
      </c>
      <c r="O1077" s="1" t="str">
        <f>"341204197208110864"</f>
        <v>341204197208110864</v>
      </c>
      <c r="P1077" s="23" t="s">
        <v>3228</v>
      </c>
      <c r="Q1077" s="23">
        <v>45103</v>
      </c>
      <c r="R1077" s="32">
        <v>45469</v>
      </c>
      <c r="V1077" s="33">
        <v>100</v>
      </c>
      <c r="W1077" s="28">
        <v>64.29</v>
      </c>
      <c r="X1077" s="34" t="s">
        <v>54</v>
      </c>
      <c r="Y1077" s="33">
        <v>64.29</v>
      </c>
      <c r="AC1077" s="28">
        <v>64.29</v>
      </c>
      <c r="AD1077" s="34" t="s">
        <v>54</v>
      </c>
      <c r="AE1077" s="33">
        <v>64.29</v>
      </c>
      <c r="AN1077" s="7" t="s">
        <v>54</v>
      </c>
      <c r="AO1077" s="7" t="s">
        <v>55</v>
      </c>
      <c r="AP1077" s="7" t="s">
        <v>56</v>
      </c>
      <c r="AT1077" s="47" t="s">
        <v>57</v>
      </c>
      <c r="AU1077" s="47" t="s">
        <v>57</v>
      </c>
    </row>
    <row r="1078" spans="1:47">
      <c r="A1078" s="4" t="s">
        <v>48</v>
      </c>
      <c r="C1078" s="21"/>
      <c r="D1078" s="22" t="s">
        <v>49</v>
      </c>
      <c r="G1078" s="23">
        <v>45089</v>
      </c>
      <c r="H1078" s="24" t="s">
        <v>3229</v>
      </c>
      <c r="J1078" s="28" t="s">
        <v>51</v>
      </c>
      <c r="L1078" s="24" t="s">
        <v>3230</v>
      </c>
      <c r="M1078" s="1" t="str">
        <f>"152104199503011614"</f>
        <v>152104199503011614</v>
      </c>
      <c r="N1078" s="24" t="s">
        <v>3230</v>
      </c>
      <c r="O1078" s="1" t="str">
        <f>"152104199503011614"</f>
        <v>152104199503011614</v>
      </c>
      <c r="P1078" s="23" t="s">
        <v>3231</v>
      </c>
      <c r="Q1078" s="23">
        <v>45090</v>
      </c>
      <c r="R1078" s="32">
        <v>45456</v>
      </c>
      <c r="V1078" s="33">
        <v>100</v>
      </c>
      <c r="W1078" s="28">
        <v>64.29</v>
      </c>
      <c r="X1078" s="34" t="s">
        <v>54</v>
      </c>
      <c r="Y1078" s="33">
        <v>64.29</v>
      </c>
      <c r="AC1078" s="28">
        <v>64.29</v>
      </c>
      <c r="AD1078" s="34" t="s">
        <v>54</v>
      </c>
      <c r="AE1078" s="33">
        <v>64.29</v>
      </c>
      <c r="AN1078" s="7" t="s">
        <v>54</v>
      </c>
      <c r="AO1078" s="7" t="s">
        <v>55</v>
      </c>
      <c r="AP1078" s="7" t="s">
        <v>56</v>
      </c>
      <c r="AT1078" s="47" t="s">
        <v>57</v>
      </c>
      <c r="AU1078" s="47" t="s">
        <v>57</v>
      </c>
    </row>
    <row r="1079" spans="1:47">
      <c r="A1079" s="4" t="s">
        <v>48</v>
      </c>
      <c r="C1079" s="21"/>
      <c r="D1079" s="22" t="s">
        <v>49</v>
      </c>
      <c r="G1079" s="23">
        <v>45077</v>
      </c>
      <c r="H1079" s="24" t="s">
        <v>3232</v>
      </c>
      <c r="J1079" s="28" t="s">
        <v>51</v>
      </c>
      <c r="L1079" s="24" t="s">
        <v>3233</v>
      </c>
      <c r="M1079" s="1" t="str">
        <f>"342101198001203829"</f>
        <v>342101198001203829</v>
      </c>
      <c r="N1079" s="24" t="s">
        <v>3233</v>
      </c>
      <c r="O1079" s="1" t="str">
        <f>"342101198001203829"</f>
        <v>342101198001203829</v>
      </c>
      <c r="P1079" s="23" t="s">
        <v>3234</v>
      </c>
      <c r="Q1079" s="23">
        <v>45231</v>
      </c>
      <c r="R1079" s="32">
        <v>45597</v>
      </c>
      <c r="V1079" s="33">
        <v>100</v>
      </c>
      <c r="W1079" s="28">
        <v>64.29</v>
      </c>
      <c r="X1079" s="34" t="s">
        <v>54</v>
      </c>
      <c r="Y1079" s="33">
        <v>64.29</v>
      </c>
      <c r="AC1079" s="28">
        <v>64.29</v>
      </c>
      <c r="AD1079" s="34" t="s">
        <v>54</v>
      </c>
      <c r="AE1079" s="33">
        <v>64.29</v>
      </c>
      <c r="AN1079" s="7" t="s">
        <v>54</v>
      </c>
      <c r="AO1079" s="7" t="s">
        <v>55</v>
      </c>
      <c r="AP1079" s="7" t="s">
        <v>56</v>
      </c>
      <c r="AT1079" s="47" t="s">
        <v>57</v>
      </c>
      <c r="AU1079" s="47" t="s">
        <v>57</v>
      </c>
    </row>
    <row r="1080" spans="1:47">
      <c r="A1080" s="4" t="s">
        <v>48</v>
      </c>
      <c r="C1080" s="21"/>
      <c r="D1080" s="22" t="s">
        <v>49</v>
      </c>
      <c r="G1080" s="23">
        <v>45077</v>
      </c>
      <c r="H1080" s="24" t="s">
        <v>3235</v>
      </c>
      <c r="J1080" s="28" t="s">
        <v>51</v>
      </c>
      <c r="L1080" s="24" t="s">
        <v>3236</v>
      </c>
      <c r="M1080" s="1" t="str">
        <f>"131023199107141037"</f>
        <v>131023199107141037</v>
      </c>
      <c r="N1080" s="24" t="s">
        <v>3236</v>
      </c>
      <c r="O1080" s="1" t="str">
        <f>"131023199107141037"</f>
        <v>131023199107141037</v>
      </c>
      <c r="P1080" s="23" t="s">
        <v>3237</v>
      </c>
      <c r="Q1080" s="23">
        <v>45108</v>
      </c>
      <c r="R1080" s="32">
        <v>45474</v>
      </c>
      <c r="V1080" s="33">
        <v>100</v>
      </c>
      <c r="W1080" s="28">
        <v>64.29</v>
      </c>
      <c r="X1080" s="34" t="s">
        <v>54</v>
      </c>
      <c r="Y1080" s="33">
        <v>64.29</v>
      </c>
      <c r="AC1080" s="28">
        <v>64.29</v>
      </c>
      <c r="AD1080" s="34" t="s">
        <v>54</v>
      </c>
      <c r="AE1080" s="33">
        <v>64.29</v>
      </c>
      <c r="AN1080" s="7" t="s">
        <v>54</v>
      </c>
      <c r="AO1080" s="7" t="s">
        <v>55</v>
      </c>
      <c r="AP1080" s="7" t="s">
        <v>56</v>
      </c>
      <c r="AT1080" s="47" t="s">
        <v>57</v>
      </c>
      <c r="AU1080" s="47" t="s">
        <v>57</v>
      </c>
    </row>
    <row r="1081" spans="1:47">
      <c r="A1081" s="4" t="s">
        <v>48</v>
      </c>
      <c r="C1081" s="21"/>
      <c r="D1081" s="22" t="s">
        <v>49</v>
      </c>
      <c r="G1081" s="23">
        <v>45078</v>
      </c>
      <c r="H1081" s="24" t="s">
        <v>3238</v>
      </c>
      <c r="J1081" s="28" t="s">
        <v>51</v>
      </c>
      <c r="L1081" s="24" t="s">
        <v>3239</v>
      </c>
      <c r="M1081" s="1" t="str">
        <f>"131023199001050436"</f>
        <v>131023199001050436</v>
      </c>
      <c r="N1081" s="24" t="s">
        <v>3239</v>
      </c>
      <c r="O1081" s="1" t="str">
        <f>"131023199001050436"</f>
        <v>131023199001050436</v>
      </c>
      <c r="P1081" s="23" t="s">
        <v>3240</v>
      </c>
      <c r="Q1081" s="23">
        <v>45092</v>
      </c>
      <c r="R1081" s="32">
        <v>45458</v>
      </c>
      <c r="V1081" s="33">
        <v>100</v>
      </c>
      <c r="W1081" s="28">
        <v>64.29</v>
      </c>
      <c r="X1081" s="34" t="s">
        <v>54</v>
      </c>
      <c r="Y1081" s="33">
        <v>64.29</v>
      </c>
      <c r="AC1081" s="28">
        <v>64.29</v>
      </c>
      <c r="AD1081" s="34" t="s">
        <v>54</v>
      </c>
      <c r="AE1081" s="33">
        <v>64.29</v>
      </c>
      <c r="AN1081" s="7" t="s">
        <v>54</v>
      </c>
      <c r="AO1081" s="7" t="s">
        <v>55</v>
      </c>
      <c r="AP1081" s="7" t="s">
        <v>56</v>
      </c>
      <c r="AT1081" s="47" t="s">
        <v>57</v>
      </c>
      <c r="AU1081" s="47" t="s">
        <v>57</v>
      </c>
    </row>
    <row r="1082" spans="1:47">
      <c r="A1082" s="4" t="s">
        <v>48</v>
      </c>
      <c r="C1082" s="21"/>
      <c r="D1082" s="22" t="s">
        <v>49</v>
      </c>
      <c r="G1082" s="23">
        <v>45078</v>
      </c>
      <c r="H1082" s="24" t="s">
        <v>3241</v>
      </c>
      <c r="J1082" s="28" t="s">
        <v>51</v>
      </c>
      <c r="L1082" s="24" t="s">
        <v>2360</v>
      </c>
      <c r="M1082" s="1" t="str">
        <f>"34122619900110654X"</f>
        <v>34122619900110654X</v>
      </c>
      <c r="N1082" s="24" t="s">
        <v>2360</v>
      </c>
      <c r="O1082" s="1" t="str">
        <f>"34122619900110654X"</f>
        <v>34122619900110654X</v>
      </c>
      <c r="P1082" s="23" t="s">
        <v>3242</v>
      </c>
      <c r="Q1082" s="23">
        <v>45092</v>
      </c>
      <c r="R1082" s="32">
        <v>45458</v>
      </c>
      <c r="V1082" s="33">
        <v>100</v>
      </c>
      <c r="W1082" s="28">
        <v>64.29</v>
      </c>
      <c r="X1082" s="34" t="s">
        <v>54</v>
      </c>
      <c r="Y1082" s="33">
        <v>64.29</v>
      </c>
      <c r="AC1082" s="28">
        <v>64.29</v>
      </c>
      <c r="AD1082" s="34" t="s">
        <v>54</v>
      </c>
      <c r="AE1082" s="33">
        <v>64.29</v>
      </c>
      <c r="AN1082" s="7" t="s">
        <v>54</v>
      </c>
      <c r="AO1082" s="7" t="s">
        <v>55</v>
      </c>
      <c r="AP1082" s="7" t="s">
        <v>56</v>
      </c>
      <c r="AT1082" s="47" t="s">
        <v>57</v>
      </c>
      <c r="AU1082" s="47" t="s">
        <v>57</v>
      </c>
    </row>
    <row r="1083" spans="1:47">
      <c r="A1083" s="4" t="s">
        <v>48</v>
      </c>
      <c r="C1083" s="21"/>
      <c r="D1083" s="22" t="s">
        <v>49</v>
      </c>
      <c r="G1083" s="23">
        <v>45079</v>
      </c>
      <c r="H1083" s="24" t="s">
        <v>3243</v>
      </c>
      <c r="J1083" s="28" t="s">
        <v>51</v>
      </c>
      <c r="L1083" s="24" t="s">
        <v>3244</v>
      </c>
      <c r="M1083" s="1" t="str">
        <f>"342127196807037545"</f>
        <v>342127196807037545</v>
      </c>
      <c r="N1083" s="24" t="s">
        <v>3244</v>
      </c>
      <c r="O1083" s="1" t="str">
        <f>"342127196807037545"</f>
        <v>342127196807037545</v>
      </c>
      <c r="P1083" s="23" t="s">
        <v>3245</v>
      </c>
      <c r="Q1083" s="23">
        <v>45080</v>
      </c>
      <c r="R1083" s="32">
        <v>45446</v>
      </c>
      <c r="V1083" s="33">
        <v>300</v>
      </c>
      <c r="W1083" s="28">
        <v>64.29</v>
      </c>
      <c r="X1083" s="34" t="s">
        <v>54</v>
      </c>
      <c r="Y1083" s="33">
        <v>192.87</v>
      </c>
      <c r="AC1083" s="28">
        <v>64.29</v>
      </c>
      <c r="AD1083" s="34" t="s">
        <v>54</v>
      </c>
      <c r="AE1083" s="33">
        <v>192.87</v>
      </c>
      <c r="AN1083" s="7" t="s">
        <v>54</v>
      </c>
      <c r="AO1083" s="7" t="s">
        <v>55</v>
      </c>
      <c r="AP1083" s="7" t="s">
        <v>56</v>
      </c>
      <c r="AT1083" s="47" t="s">
        <v>57</v>
      </c>
      <c r="AU1083" s="47" t="s">
        <v>57</v>
      </c>
    </row>
    <row r="1084" spans="1:47">
      <c r="A1084" s="4" t="s">
        <v>48</v>
      </c>
      <c r="C1084" s="21"/>
      <c r="D1084" s="22" t="s">
        <v>49</v>
      </c>
      <c r="G1084" s="23">
        <v>45080</v>
      </c>
      <c r="H1084" s="24" t="s">
        <v>3246</v>
      </c>
      <c r="J1084" s="28" t="s">
        <v>51</v>
      </c>
      <c r="L1084" s="24" t="s">
        <v>3247</v>
      </c>
      <c r="M1084" s="1" t="str">
        <f>"410503198001191013"</f>
        <v>410503198001191013</v>
      </c>
      <c r="N1084" s="24" t="s">
        <v>3247</v>
      </c>
      <c r="O1084" s="1" t="str">
        <f>"410503198001191013"</f>
        <v>410503198001191013</v>
      </c>
      <c r="P1084" s="23" t="s">
        <v>3248</v>
      </c>
      <c r="Q1084" s="23">
        <v>45081</v>
      </c>
      <c r="R1084" s="32">
        <v>45447</v>
      </c>
      <c r="V1084" s="33">
        <v>300</v>
      </c>
      <c r="W1084" s="28">
        <v>64.29</v>
      </c>
      <c r="X1084" s="34" t="s">
        <v>54</v>
      </c>
      <c r="Y1084" s="33">
        <v>192.87</v>
      </c>
      <c r="AC1084" s="28">
        <v>64.29</v>
      </c>
      <c r="AD1084" s="34" t="s">
        <v>54</v>
      </c>
      <c r="AE1084" s="33">
        <v>192.87</v>
      </c>
      <c r="AN1084" s="7" t="s">
        <v>54</v>
      </c>
      <c r="AO1084" s="7" t="s">
        <v>55</v>
      </c>
      <c r="AP1084" s="7" t="s">
        <v>56</v>
      </c>
      <c r="AT1084" s="47" t="s">
        <v>57</v>
      </c>
      <c r="AU1084" s="47" t="s">
        <v>57</v>
      </c>
    </row>
    <row r="1085" spans="1:47">
      <c r="A1085" s="4" t="s">
        <v>48</v>
      </c>
      <c r="C1085" s="21"/>
      <c r="D1085" s="22" t="s">
        <v>49</v>
      </c>
      <c r="G1085" s="23">
        <v>45079</v>
      </c>
      <c r="H1085" s="24" t="s">
        <v>3249</v>
      </c>
      <c r="J1085" s="28" t="s">
        <v>51</v>
      </c>
      <c r="L1085" s="24" t="s">
        <v>3250</v>
      </c>
      <c r="M1085" s="1" t="str">
        <f>"131082196706170565"</f>
        <v>131082196706170565</v>
      </c>
      <c r="N1085" s="24" t="s">
        <v>3250</v>
      </c>
      <c r="O1085" s="1" t="str">
        <f>"131082196706170565"</f>
        <v>131082196706170565</v>
      </c>
      <c r="P1085" s="23" t="s">
        <v>3251</v>
      </c>
      <c r="Q1085" s="23">
        <v>45080</v>
      </c>
      <c r="R1085" s="32">
        <v>45446</v>
      </c>
      <c r="V1085" s="33">
        <v>300</v>
      </c>
      <c r="W1085" s="28">
        <v>64.29</v>
      </c>
      <c r="X1085" s="34" t="s">
        <v>54</v>
      </c>
      <c r="Y1085" s="33">
        <v>192.87</v>
      </c>
      <c r="AC1085" s="28">
        <v>64.29</v>
      </c>
      <c r="AD1085" s="34" t="s">
        <v>54</v>
      </c>
      <c r="AE1085" s="33">
        <v>192.87</v>
      </c>
      <c r="AN1085" s="7" t="s">
        <v>54</v>
      </c>
      <c r="AO1085" s="7" t="s">
        <v>55</v>
      </c>
      <c r="AP1085" s="7" t="s">
        <v>56</v>
      </c>
      <c r="AT1085" s="47" t="s">
        <v>57</v>
      </c>
      <c r="AU1085" s="47" t="s">
        <v>57</v>
      </c>
    </row>
    <row r="1086" spans="1:47">
      <c r="A1086" s="4" t="s">
        <v>48</v>
      </c>
      <c r="C1086" s="21"/>
      <c r="D1086" s="22" t="s">
        <v>49</v>
      </c>
      <c r="G1086" s="23">
        <v>45082</v>
      </c>
      <c r="H1086" s="24" t="s">
        <v>3252</v>
      </c>
      <c r="J1086" s="28" t="s">
        <v>51</v>
      </c>
      <c r="L1086" s="24" t="s">
        <v>3253</v>
      </c>
      <c r="M1086" s="1" t="str">
        <f>"120222194612020614"</f>
        <v>120222194612020614</v>
      </c>
      <c r="N1086" s="24" t="s">
        <v>3253</v>
      </c>
      <c r="O1086" s="1" t="str">
        <f>"120222194612020614"</f>
        <v>120222194612020614</v>
      </c>
      <c r="P1086" s="23" t="s">
        <v>3254</v>
      </c>
      <c r="Q1086" s="23">
        <v>45083</v>
      </c>
      <c r="R1086" s="32">
        <v>45449</v>
      </c>
      <c r="V1086" s="33">
        <v>300</v>
      </c>
      <c r="W1086" s="28">
        <v>64.29</v>
      </c>
      <c r="X1086" s="34" t="s">
        <v>54</v>
      </c>
      <c r="Y1086" s="33">
        <v>192.87</v>
      </c>
      <c r="AC1086" s="28">
        <v>64.29</v>
      </c>
      <c r="AD1086" s="34" t="s">
        <v>54</v>
      </c>
      <c r="AE1086" s="33">
        <v>192.87</v>
      </c>
      <c r="AN1086" s="7" t="s">
        <v>54</v>
      </c>
      <c r="AO1086" s="7" t="s">
        <v>55</v>
      </c>
      <c r="AP1086" s="7" t="s">
        <v>56</v>
      </c>
      <c r="AT1086" s="47" t="s">
        <v>57</v>
      </c>
      <c r="AU1086" s="47" t="s">
        <v>57</v>
      </c>
    </row>
    <row r="1087" spans="1:47">
      <c r="A1087" s="4" t="s">
        <v>48</v>
      </c>
      <c r="C1087" s="21"/>
      <c r="D1087" s="22" t="s">
        <v>49</v>
      </c>
      <c r="G1087" s="23">
        <v>45077</v>
      </c>
      <c r="H1087" s="24" t="s">
        <v>3255</v>
      </c>
      <c r="J1087" s="28" t="s">
        <v>51</v>
      </c>
      <c r="L1087" s="24" t="s">
        <v>3256</v>
      </c>
      <c r="M1087" s="1" t="str">
        <f>"132821194807128270"</f>
        <v>132821194807128270</v>
      </c>
      <c r="N1087" s="24" t="s">
        <v>3256</v>
      </c>
      <c r="O1087" s="1" t="str">
        <f>"132821194807128270"</f>
        <v>132821194807128270</v>
      </c>
      <c r="P1087" s="23" t="s">
        <v>3257</v>
      </c>
      <c r="Q1087" s="23">
        <v>45078</v>
      </c>
      <c r="R1087" s="32">
        <v>45444</v>
      </c>
      <c r="V1087" s="33">
        <v>300</v>
      </c>
      <c r="W1087" s="28">
        <v>64.29</v>
      </c>
      <c r="X1087" s="34" t="s">
        <v>54</v>
      </c>
      <c r="Y1087" s="33">
        <v>192.87</v>
      </c>
      <c r="AC1087" s="28">
        <v>64.29</v>
      </c>
      <c r="AD1087" s="34" t="s">
        <v>54</v>
      </c>
      <c r="AE1087" s="33">
        <v>192.87</v>
      </c>
      <c r="AN1087" s="7" t="s">
        <v>54</v>
      </c>
      <c r="AO1087" s="7" t="s">
        <v>55</v>
      </c>
      <c r="AP1087" s="7" t="s">
        <v>56</v>
      </c>
      <c r="AT1087" s="47" t="s">
        <v>57</v>
      </c>
      <c r="AU1087" s="47" t="s">
        <v>57</v>
      </c>
    </row>
    <row r="1088" spans="1:47">
      <c r="A1088" s="4" t="s">
        <v>48</v>
      </c>
      <c r="C1088" s="21"/>
      <c r="D1088" s="22" t="s">
        <v>49</v>
      </c>
      <c r="G1088" s="23">
        <v>45093</v>
      </c>
      <c r="H1088" s="24" t="s">
        <v>3258</v>
      </c>
      <c r="J1088" s="28" t="s">
        <v>51</v>
      </c>
      <c r="L1088" s="24" t="s">
        <v>3259</v>
      </c>
      <c r="M1088" s="1" t="str">
        <f>"131082197511278212"</f>
        <v>131082197511278212</v>
      </c>
      <c r="N1088" s="24" t="s">
        <v>3259</v>
      </c>
      <c r="O1088" s="1" t="str">
        <f>"131082197511278212"</f>
        <v>131082197511278212</v>
      </c>
      <c r="P1088" s="23" t="s">
        <v>3260</v>
      </c>
      <c r="Q1088" s="23">
        <v>45094</v>
      </c>
      <c r="R1088" s="32">
        <v>45460</v>
      </c>
      <c r="V1088" s="33">
        <v>600</v>
      </c>
      <c r="W1088" s="28">
        <v>64.29</v>
      </c>
      <c r="X1088" s="34" t="s">
        <v>54</v>
      </c>
      <c r="Y1088" s="33">
        <v>385.74</v>
      </c>
      <c r="AC1088" s="28">
        <v>64.29</v>
      </c>
      <c r="AD1088" s="34" t="s">
        <v>54</v>
      </c>
      <c r="AE1088" s="33">
        <v>385.74</v>
      </c>
      <c r="AN1088" s="7" t="s">
        <v>54</v>
      </c>
      <c r="AO1088" s="7" t="s">
        <v>55</v>
      </c>
      <c r="AP1088" s="7" t="s">
        <v>56</v>
      </c>
      <c r="AT1088" s="47" t="s">
        <v>57</v>
      </c>
      <c r="AU1088" s="47" t="s">
        <v>57</v>
      </c>
    </row>
    <row r="1089" spans="1:47">
      <c r="A1089" s="4" t="s">
        <v>48</v>
      </c>
      <c r="C1089" s="21"/>
      <c r="D1089" s="22" t="s">
        <v>49</v>
      </c>
      <c r="G1089" s="23">
        <v>45089</v>
      </c>
      <c r="H1089" s="24" t="s">
        <v>3261</v>
      </c>
      <c r="J1089" s="28" t="s">
        <v>51</v>
      </c>
      <c r="L1089" s="24" t="s">
        <v>3262</v>
      </c>
      <c r="M1089" s="1" t="str">
        <f>"131082197511278212"</f>
        <v>131082197511278212</v>
      </c>
      <c r="N1089" s="24" t="s">
        <v>3262</v>
      </c>
      <c r="O1089" s="1" t="str">
        <f>"131082197511278212"</f>
        <v>131082197511278212</v>
      </c>
      <c r="P1089" s="23" t="s">
        <v>3260</v>
      </c>
      <c r="Q1089" s="23">
        <v>45090</v>
      </c>
      <c r="R1089" s="32">
        <v>45456</v>
      </c>
      <c r="V1089" s="33">
        <v>50</v>
      </c>
      <c r="W1089" s="28">
        <v>64.29</v>
      </c>
      <c r="X1089" s="34" t="s">
        <v>54</v>
      </c>
      <c r="Y1089" s="33">
        <v>32.15</v>
      </c>
      <c r="AC1089" s="28">
        <v>64.29</v>
      </c>
      <c r="AD1089" s="34" t="s">
        <v>54</v>
      </c>
      <c r="AE1089" s="33">
        <v>32.15</v>
      </c>
      <c r="AN1089" s="7" t="s">
        <v>54</v>
      </c>
      <c r="AO1089" s="7" t="s">
        <v>55</v>
      </c>
      <c r="AP1089" s="7" t="s">
        <v>56</v>
      </c>
      <c r="AT1089" s="47" t="s">
        <v>57</v>
      </c>
      <c r="AU1089" s="47" t="s">
        <v>57</v>
      </c>
    </row>
    <row r="1090" spans="1:47">
      <c r="A1090" s="4" t="s">
        <v>48</v>
      </c>
      <c r="C1090" s="21"/>
      <c r="D1090" s="22" t="s">
        <v>49</v>
      </c>
      <c r="G1090" s="23">
        <v>45088</v>
      </c>
      <c r="H1090" s="24" t="s">
        <v>3263</v>
      </c>
      <c r="J1090" s="28" t="s">
        <v>51</v>
      </c>
      <c r="L1090" s="24" t="s">
        <v>3264</v>
      </c>
      <c r="M1090" s="1" t="str">
        <f>"131082197008238512"</f>
        <v>131082197008238512</v>
      </c>
      <c r="N1090" s="24" t="s">
        <v>3264</v>
      </c>
      <c r="O1090" s="1" t="str">
        <f>"131082197008238512"</f>
        <v>131082197008238512</v>
      </c>
      <c r="P1090" s="23" t="s">
        <v>3265</v>
      </c>
      <c r="Q1090" s="23">
        <v>45089</v>
      </c>
      <c r="R1090" s="32">
        <v>45455</v>
      </c>
      <c r="V1090" s="33">
        <v>50</v>
      </c>
      <c r="W1090" s="28">
        <v>64.29</v>
      </c>
      <c r="X1090" s="34" t="s">
        <v>54</v>
      </c>
      <c r="Y1090" s="33">
        <v>32.15</v>
      </c>
      <c r="AC1090" s="28">
        <v>64.29</v>
      </c>
      <c r="AD1090" s="34" t="s">
        <v>54</v>
      </c>
      <c r="AE1090" s="33">
        <v>32.15</v>
      </c>
      <c r="AN1090" s="7" t="s">
        <v>54</v>
      </c>
      <c r="AO1090" s="7" t="s">
        <v>55</v>
      </c>
      <c r="AP1090" s="7" t="s">
        <v>56</v>
      </c>
      <c r="AT1090" s="47" t="s">
        <v>57</v>
      </c>
      <c r="AU1090" s="47" t="s">
        <v>57</v>
      </c>
    </row>
    <row r="1091" spans="1:47">
      <c r="A1091" s="4" t="s">
        <v>48</v>
      </c>
      <c r="C1091" s="21"/>
      <c r="D1091" s="22" t="s">
        <v>49</v>
      </c>
      <c r="G1091" s="23">
        <v>45102</v>
      </c>
      <c r="H1091" s="24" t="s">
        <v>3266</v>
      </c>
      <c r="J1091" s="28" t="s">
        <v>51</v>
      </c>
      <c r="L1091" s="24" t="s">
        <v>717</v>
      </c>
      <c r="M1091" s="1" t="str">
        <f>"341221198401083141"</f>
        <v>341221198401083141</v>
      </c>
      <c r="N1091" s="24" t="s">
        <v>717</v>
      </c>
      <c r="O1091" s="1" t="str">
        <f>"341221198401083141"</f>
        <v>341221198401083141</v>
      </c>
      <c r="P1091" s="23" t="s">
        <v>3267</v>
      </c>
      <c r="Q1091" s="23">
        <v>45103</v>
      </c>
      <c r="R1091" s="32">
        <v>45469</v>
      </c>
      <c r="V1091" s="33">
        <v>100</v>
      </c>
      <c r="W1091" s="28">
        <v>64.29</v>
      </c>
      <c r="X1091" s="34" t="s">
        <v>54</v>
      </c>
      <c r="Y1091" s="33">
        <v>64.29</v>
      </c>
      <c r="AC1091" s="28">
        <v>64.29</v>
      </c>
      <c r="AD1091" s="34" t="s">
        <v>54</v>
      </c>
      <c r="AE1091" s="33">
        <v>64.29</v>
      </c>
      <c r="AN1091" s="7" t="s">
        <v>54</v>
      </c>
      <c r="AO1091" s="7" t="s">
        <v>55</v>
      </c>
      <c r="AP1091" s="7" t="s">
        <v>56</v>
      </c>
      <c r="AT1091" s="47" t="s">
        <v>57</v>
      </c>
      <c r="AU1091" s="47" t="s">
        <v>57</v>
      </c>
    </row>
    <row r="1092" spans="1:47">
      <c r="A1092" s="4" t="s">
        <v>48</v>
      </c>
      <c r="C1092" s="21"/>
      <c r="D1092" s="22" t="s">
        <v>49</v>
      </c>
      <c r="G1092" s="23">
        <v>45099</v>
      </c>
      <c r="H1092" s="24" t="s">
        <v>3268</v>
      </c>
      <c r="J1092" s="28" t="s">
        <v>51</v>
      </c>
      <c r="L1092" s="24" t="s">
        <v>3269</v>
      </c>
      <c r="M1092" s="1" t="str">
        <f>"340104197607092513"</f>
        <v>340104197607092513</v>
      </c>
      <c r="N1092" s="24" t="s">
        <v>3269</v>
      </c>
      <c r="O1092" s="1" t="str">
        <f>"340104197607092513"</f>
        <v>340104197607092513</v>
      </c>
      <c r="P1092" s="23" t="s">
        <v>3270</v>
      </c>
      <c r="Q1092" s="23">
        <v>45100</v>
      </c>
      <c r="R1092" s="32">
        <v>45466</v>
      </c>
      <c r="V1092" s="33">
        <v>100</v>
      </c>
      <c r="W1092" s="28">
        <v>64.29</v>
      </c>
      <c r="X1092" s="34" t="s">
        <v>54</v>
      </c>
      <c r="Y1092" s="33">
        <v>64.29</v>
      </c>
      <c r="AC1092" s="28">
        <v>64.29</v>
      </c>
      <c r="AD1092" s="34" t="s">
        <v>54</v>
      </c>
      <c r="AE1092" s="33">
        <v>64.29</v>
      </c>
      <c r="AN1092" s="7" t="s">
        <v>54</v>
      </c>
      <c r="AO1092" s="7" t="s">
        <v>55</v>
      </c>
      <c r="AP1092" s="7" t="s">
        <v>56</v>
      </c>
      <c r="AT1092" s="47" t="s">
        <v>57</v>
      </c>
      <c r="AU1092" s="47" t="s">
        <v>57</v>
      </c>
    </row>
    <row r="1093" spans="1:47">
      <c r="A1093" s="4" t="s">
        <v>48</v>
      </c>
      <c r="C1093" s="21"/>
      <c r="D1093" s="22" t="s">
        <v>49</v>
      </c>
      <c r="G1093" s="23">
        <v>45102</v>
      </c>
      <c r="H1093" s="24" t="s">
        <v>3271</v>
      </c>
      <c r="J1093" s="28" t="s">
        <v>51</v>
      </c>
      <c r="L1093" s="24" t="s">
        <v>3272</v>
      </c>
      <c r="M1093" s="1" t="str">
        <f>"132404196206204216"</f>
        <v>132404196206204216</v>
      </c>
      <c r="N1093" s="24" t="s">
        <v>3272</v>
      </c>
      <c r="O1093" s="1" t="str">
        <f>"132404196206204216"</f>
        <v>132404196206204216</v>
      </c>
      <c r="P1093" s="23" t="s">
        <v>3273</v>
      </c>
      <c r="Q1093" s="23">
        <v>45103</v>
      </c>
      <c r="R1093" s="32">
        <v>45469</v>
      </c>
      <c r="V1093" s="33">
        <v>100</v>
      </c>
      <c r="W1093" s="28">
        <v>64.29</v>
      </c>
      <c r="X1093" s="34" t="s">
        <v>54</v>
      </c>
      <c r="Y1093" s="33">
        <v>64.29</v>
      </c>
      <c r="AC1093" s="28">
        <v>64.29</v>
      </c>
      <c r="AD1093" s="34" t="s">
        <v>54</v>
      </c>
      <c r="AE1093" s="33">
        <v>64.29</v>
      </c>
      <c r="AN1093" s="7" t="s">
        <v>54</v>
      </c>
      <c r="AO1093" s="7" t="s">
        <v>55</v>
      </c>
      <c r="AP1093" s="7" t="s">
        <v>56</v>
      </c>
      <c r="AT1093" s="47" t="s">
        <v>57</v>
      </c>
      <c r="AU1093" s="47" t="s">
        <v>57</v>
      </c>
    </row>
    <row r="1094" spans="1:47">
      <c r="A1094" s="4" t="s">
        <v>48</v>
      </c>
      <c r="C1094" s="21"/>
      <c r="D1094" s="22" t="s">
        <v>49</v>
      </c>
      <c r="G1094" s="23">
        <v>45102</v>
      </c>
      <c r="H1094" s="24" t="s">
        <v>3274</v>
      </c>
      <c r="J1094" s="28" t="s">
        <v>51</v>
      </c>
      <c r="L1094" s="24" t="s">
        <v>3275</v>
      </c>
      <c r="M1094" s="1" t="str">
        <f>"130926199607030410"</f>
        <v>130926199607030410</v>
      </c>
      <c r="N1094" s="24" t="s">
        <v>3275</v>
      </c>
      <c r="O1094" s="1" t="str">
        <f>"130926199607030410"</f>
        <v>130926199607030410</v>
      </c>
      <c r="P1094" s="23" t="s">
        <v>3276</v>
      </c>
      <c r="Q1094" s="23">
        <v>45200</v>
      </c>
      <c r="R1094" s="32">
        <v>45566</v>
      </c>
      <c r="V1094" s="33">
        <v>100</v>
      </c>
      <c r="W1094" s="28">
        <v>64.29</v>
      </c>
      <c r="X1094" s="34" t="s">
        <v>54</v>
      </c>
      <c r="Y1094" s="33">
        <v>64.29</v>
      </c>
      <c r="AC1094" s="28">
        <v>64.29</v>
      </c>
      <c r="AD1094" s="34" t="s">
        <v>54</v>
      </c>
      <c r="AE1094" s="33">
        <v>64.29</v>
      </c>
      <c r="AN1094" s="7" t="s">
        <v>54</v>
      </c>
      <c r="AO1094" s="7" t="s">
        <v>55</v>
      </c>
      <c r="AP1094" s="7" t="s">
        <v>56</v>
      </c>
      <c r="AT1094" s="47" t="s">
        <v>57</v>
      </c>
      <c r="AU1094" s="47" t="s">
        <v>57</v>
      </c>
    </row>
    <row r="1095" spans="1:47">
      <c r="A1095" s="4" t="s">
        <v>48</v>
      </c>
      <c r="C1095" s="21"/>
      <c r="D1095" s="22" t="s">
        <v>49</v>
      </c>
      <c r="G1095" s="23">
        <v>45096</v>
      </c>
      <c r="H1095" s="24" t="s">
        <v>3277</v>
      </c>
      <c r="J1095" s="28" t="s">
        <v>51</v>
      </c>
      <c r="L1095" s="24" t="s">
        <v>3278</v>
      </c>
      <c r="M1095" s="1" t="str">
        <f>"132822196210052061"</f>
        <v>132822196210052061</v>
      </c>
      <c r="N1095" s="24" t="s">
        <v>3278</v>
      </c>
      <c r="O1095" s="1" t="str">
        <f>"132822196210052061"</f>
        <v>132822196210052061</v>
      </c>
      <c r="P1095" s="23" t="s">
        <v>3279</v>
      </c>
      <c r="Q1095" s="23">
        <v>45097</v>
      </c>
      <c r="R1095" s="32">
        <v>45463</v>
      </c>
      <c r="V1095" s="33">
        <v>100</v>
      </c>
      <c r="W1095" s="28">
        <v>64.29</v>
      </c>
      <c r="X1095" s="34" t="s">
        <v>54</v>
      </c>
      <c r="Y1095" s="33">
        <v>64.29</v>
      </c>
      <c r="AC1095" s="28">
        <v>64.29</v>
      </c>
      <c r="AD1095" s="34" t="s">
        <v>54</v>
      </c>
      <c r="AE1095" s="33">
        <v>64.29</v>
      </c>
      <c r="AN1095" s="7" t="s">
        <v>54</v>
      </c>
      <c r="AO1095" s="7" t="s">
        <v>55</v>
      </c>
      <c r="AP1095" s="7" t="s">
        <v>56</v>
      </c>
      <c r="AT1095" s="47" t="s">
        <v>57</v>
      </c>
      <c r="AU1095" s="47" t="s">
        <v>57</v>
      </c>
    </row>
    <row r="1096" spans="1:47">
      <c r="A1096" s="4" t="s">
        <v>48</v>
      </c>
      <c r="C1096" s="21"/>
      <c r="D1096" s="22" t="s">
        <v>49</v>
      </c>
      <c r="G1096" s="23">
        <v>45098</v>
      </c>
      <c r="H1096" s="24" t="s">
        <v>3280</v>
      </c>
      <c r="J1096" s="28" t="s">
        <v>51</v>
      </c>
      <c r="L1096" s="24" t="s">
        <v>3281</v>
      </c>
      <c r="M1096" s="1" t="str">
        <f>"130926197208082855"</f>
        <v>130926197208082855</v>
      </c>
      <c r="N1096" s="24" t="s">
        <v>3281</v>
      </c>
      <c r="O1096" s="1" t="str">
        <f>"130926197208082855"</f>
        <v>130926197208082855</v>
      </c>
      <c r="P1096" s="23" t="s">
        <v>3282</v>
      </c>
      <c r="Q1096" s="23">
        <v>45221</v>
      </c>
      <c r="R1096" s="32">
        <v>45587</v>
      </c>
      <c r="V1096" s="33">
        <v>100</v>
      </c>
      <c r="W1096" s="28">
        <v>64.29</v>
      </c>
      <c r="X1096" s="34" t="s">
        <v>54</v>
      </c>
      <c r="Y1096" s="33">
        <v>64.29</v>
      </c>
      <c r="AC1096" s="28">
        <v>64.29</v>
      </c>
      <c r="AD1096" s="34" t="s">
        <v>54</v>
      </c>
      <c r="AE1096" s="33">
        <v>64.29</v>
      </c>
      <c r="AN1096" s="7" t="s">
        <v>54</v>
      </c>
      <c r="AO1096" s="7" t="s">
        <v>55</v>
      </c>
      <c r="AP1096" s="7" t="s">
        <v>56</v>
      </c>
      <c r="AT1096" s="47" t="s">
        <v>57</v>
      </c>
      <c r="AU1096" s="47" t="s">
        <v>57</v>
      </c>
    </row>
    <row r="1097" spans="1:47">
      <c r="A1097" s="4" t="s">
        <v>48</v>
      </c>
      <c r="C1097" s="21"/>
      <c r="D1097" s="22" t="s">
        <v>49</v>
      </c>
      <c r="G1097" s="23">
        <v>45096</v>
      </c>
      <c r="H1097" s="24" t="s">
        <v>3283</v>
      </c>
      <c r="J1097" s="28" t="s">
        <v>51</v>
      </c>
      <c r="L1097" s="24" t="s">
        <v>3284</v>
      </c>
      <c r="M1097" s="1" t="str">
        <f>"211421198209100038"</f>
        <v>211421198209100038</v>
      </c>
      <c r="N1097" s="24" t="s">
        <v>3284</v>
      </c>
      <c r="O1097" s="1" t="str">
        <f>"211421198209100038"</f>
        <v>211421198209100038</v>
      </c>
      <c r="P1097" s="23" t="s">
        <v>3285</v>
      </c>
      <c r="Q1097" s="23">
        <v>45097</v>
      </c>
      <c r="R1097" s="32">
        <v>45463</v>
      </c>
      <c r="V1097" s="33">
        <v>100</v>
      </c>
      <c r="W1097" s="28">
        <v>64.29</v>
      </c>
      <c r="X1097" s="34" t="s">
        <v>54</v>
      </c>
      <c r="Y1097" s="33">
        <v>64.29</v>
      </c>
      <c r="AC1097" s="28">
        <v>64.29</v>
      </c>
      <c r="AD1097" s="34" t="s">
        <v>54</v>
      </c>
      <c r="AE1097" s="33">
        <v>64.29</v>
      </c>
      <c r="AN1097" s="7" t="s">
        <v>54</v>
      </c>
      <c r="AO1097" s="7" t="s">
        <v>55</v>
      </c>
      <c r="AP1097" s="7" t="s">
        <v>56</v>
      </c>
      <c r="AT1097" s="47" t="s">
        <v>57</v>
      </c>
      <c r="AU1097" s="47" t="s">
        <v>57</v>
      </c>
    </row>
    <row r="1098" spans="1:47">
      <c r="A1098" s="4" t="s">
        <v>48</v>
      </c>
      <c r="C1098" s="21"/>
      <c r="D1098" s="22" t="s">
        <v>49</v>
      </c>
      <c r="G1098" s="23">
        <v>45089</v>
      </c>
      <c r="H1098" s="24" t="s">
        <v>3286</v>
      </c>
      <c r="J1098" s="28" t="s">
        <v>51</v>
      </c>
      <c r="L1098" s="24" t="s">
        <v>3287</v>
      </c>
      <c r="M1098" s="1" t="str">
        <f>"130926197208082855"</f>
        <v>130926197208082855</v>
      </c>
      <c r="N1098" s="24" t="s">
        <v>3287</v>
      </c>
      <c r="O1098" s="1" t="str">
        <f>"130926197208082855"</f>
        <v>130926197208082855</v>
      </c>
      <c r="P1098" s="23" t="s">
        <v>3282</v>
      </c>
      <c r="Q1098" s="23">
        <v>45090</v>
      </c>
      <c r="R1098" s="32">
        <v>45456</v>
      </c>
      <c r="V1098" s="33">
        <v>100</v>
      </c>
      <c r="W1098" s="28">
        <v>64.29</v>
      </c>
      <c r="X1098" s="34" t="s">
        <v>54</v>
      </c>
      <c r="Y1098" s="33">
        <v>64.29</v>
      </c>
      <c r="AC1098" s="28">
        <v>64.29</v>
      </c>
      <c r="AD1098" s="34" t="s">
        <v>54</v>
      </c>
      <c r="AE1098" s="33">
        <v>64.29</v>
      </c>
      <c r="AN1098" s="7" t="s">
        <v>54</v>
      </c>
      <c r="AO1098" s="7" t="s">
        <v>55</v>
      </c>
      <c r="AP1098" s="7" t="s">
        <v>56</v>
      </c>
      <c r="AT1098" s="47" t="s">
        <v>57</v>
      </c>
      <c r="AU1098" s="47" t="s">
        <v>57</v>
      </c>
    </row>
    <row r="1099" spans="1:47">
      <c r="A1099" s="4" t="s">
        <v>48</v>
      </c>
      <c r="C1099" s="21"/>
      <c r="D1099" s="22" t="s">
        <v>49</v>
      </c>
      <c r="G1099" s="23">
        <v>45089</v>
      </c>
      <c r="H1099" s="24" t="s">
        <v>3288</v>
      </c>
      <c r="J1099" s="28" t="s">
        <v>51</v>
      </c>
      <c r="L1099" s="24" t="s">
        <v>3289</v>
      </c>
      <c r="M1099" s="1" t="str">
        <f>"142602197008261564"</f>
        <v>142602197008261564</v>
      </c>
      <c r="N1099" s="24" t="s">
        <v>3289</v>
      </c>
      <c r="O1099" s="1" t="str">
        <f>"142602197008261564"</f>
        <v>142602197008261564</v>
      </c>
      <c r="P1099" s="23" t="s">
        <v>3290</v>
      </c>
      <c r="Q1099" s="23">
        <v>45090</v>
      </c>
      <c r="R1099" s="32">
        <v>45456</v>
      </c>
      <c r="V1099" s="33">
        <v>100</v>
      </c>
      <c r="W1099" s="28">
        <v>64.29</v>
      </c>
      <c r="X1099" s="34" t="s">
        <v>54</v>
      </c>
      <c r="Y1099" s="33">
        <v>64.29</v>
      </c>
      <c r="AC1099" s="28">
        <v>64.29</v>
      </c>
      <c r="AD1099" s="34" t="s">
        <v>54</v>
      </c>
      <c r="AE1099" s="33">
        <v>64.29</v>
      </c>
      <c r="AN1099" s="7" t="s">
        <v>54</v>
      </c>
      <c r="AO1099" s="7" t="s">
        <v>55</v>
      </c>
      <c r="AP1099" s="7" t="s">
        <v>56</v>
      </c>
      <c r="AT1099" s="47" t="s">
        <v>57</v>
      </c>
      <c r="AU1099" s="47" t="s">
        <v>57</v>
      </c>
    </row>
    <row r="1100" spans="1:47">
      <c r="A1100" s="4" t="s">
        <v>48</v>
      </c>
      <c r="C1100" s="21"/>
      <c r="D1100" s="22" t="s">
        <v>49</v>
      </c>
      <c r="G1100" s="23">
        <v>45089</v>
      </c>
      <c r="H1100" s="24" t="s">
        <v>3291</v>
      </c>
      <c r="J1100" s="28" t="s">
        <v>51</v>
      </c>
      <c r="L1100" s="24" t="s">
        <v>3292</v>
      </c>
      <c r="M1100" s="1" t="str">
        <f>"130926198209121419"</f>
        <v>130926198209121419</v>
      </c>
      <c r="N1100" s="24" t="s">
        <v>3292</v>
      </c>
      <c r="O1100" s="1" t="str">
        <f>"130926198209121419"</f>
        <v>130926198209121419</v>
      </c>
      <c r="P1100" s="23" t="s">
        <v>3293</v>
      </c>
      <c r="Q1100" s="23">
        <v>45090</v>
      </c>
      <c r="R1100" s="32">
        <v>45456</v>
      </c>
      <c r="V1100" s="33">
        <v>100</v>
      </c>
      <c r="W1100" s="28">
        <v>64.29</v>
      </c>
      <c r="X1100" s="34" t="s">
        <v>54</v>
      </c>
      <c r="Y1100" s="33">
        <v>64.29</v>
      </c>
      <c r="AC1100" s="28">
        <v>64.29</v>
      </c>
      <c r="AD1100" s="34" t="s">
        <v>54</v>
      </c>
      <c r="AE1100" s="33">
        <v>64.29</v>
      </c>
      <c r="AN1100" s="7" t="s">
        <v>54</v>
      </c>
      <c r="AO1100" s="7" t="s">
        <v>55</v>
      </c>
      <c r="AP1100" s="7" t="s">
        <v>56</v>
      </c>
      <c r="AT1100" s="47" t="s">
        <v>57</v>
      </c>
      <c r="AU1100" s="47" t="s">
        <v>57</v>
      </c>
    </row>
    <row r="1101" spans="1:47">
      <c r="A1101" s="4" t="s">
        <v>48</v>
      </c>
      <c r="C1101" s="21"/>
      <c r="D1101" s="22" t="s">
        <v>49</v>
      </c>
      <c r="G1101" s="23">
        <v>45089</v>
      </c>
      <c r="H1101" s="24" t="s">
        <v>3294</v>
      </c>
      <c r="J1101" s="28" t="s">
        <v>51</v>
      </c>
      <c r="L1101" s="24" t="s">
        <v>3295</v>
      </c>
      <c r="M1101" s="1" t="str">
        <f>"120222198112157540"</f>
        <v>120222198112157540</v>
      </c>
      <c r="N1101" s="24" t="s">
        <v>3295</v>
      </c>
      <c r="O1101" s="1" t="str">
        <f>"120222198112157540"</f>
        <v>120222198112157540</v>
      </c>
      <c r="P1101" s="23" t="s">
        <v>3296</v>
      </c>
      <c r="Q1101" s="23">
        <v>45090</v>
      </c>
      <c r="R1101" s="32">
        <v>45456</v>
      </c>
      <c r="V1101" s="33">
        <v>100</v>
      </c>
      <c r="W1101" s="28">
        <v>64.29</v>
      </c>
      <c r="X1101" s="34" t="s">
        <v>54</v>
      </c>
      <c r="Y1101" s="33">
        <v>64.29</v>
      </c>
      <c r="AC1101" s="28">
        <v>64.29</v>
      </c>
      <c r="AD1101" s="34" t="s">
        <v>54</v>
      </c>
      <c r="AE1101" s="33">
        <v>64.29</v>
      </c>
      <c r="AN1101" s="7" t="s">
        <v>54</v>
      </c>
      <c r="AO1101" s="7" t="s">
        <v>55</v>
      </c>
      <c r="AP1101" s="7" t="s">
        <v>56</v>
      </c>
      <c r="AT1101" s="47" t="s">
        <v>57</v>
      </c>
      <c r="AU1101" s="47" t="s">
        <v>57</v>
      </c>
    </row>
    <row r="1102" spans="1:47">
      <c r="A1102" s="4" t="s">
        <v>48</v>
      </c>
      <c r="C1102" s="21"/>
      <c r="D1102" s="22" t="s">
        <v>49</v>
      </c>
      <c r="G1102" s="23">
        <v>45089</v>
      </c>
      <c r="H1102" s="24" t="s">
        <v>3297</v>
      </c>
      <c r="J1102" s="28" t="s">
        <v>51</v>
      </c>
      <c r="L1102" s="24" t="s">
        <v>3298</v>
      </c>
      <c r="M1102" s="1" t="str">
        <f>"120222196210133113"</f>
        <v>120222196210133113</v>
      </c>
      <c r="N1102" s="24" t="s">
        <v>3298</v>
      </c>
      <c r="O1102" s="1" t="str">
        <f>"120222196210133113"</f>
        <v>120222196210133113</v>
      </c>
      <c r="P1102" s="23" t="s">
        <v>3299</v>
      </c>
      <c r="Q1102" s="23">
        <v>45090</v>
      </c>
      <c r="R1102" s="32">
        <v>45456</v>
      </c>
      <c r="V1102" s="33">
        <v>100</v>
      </c>
      <c r="W1102" s="28">
        <v>64.29</v>
      </c>
      <c r="X1102" s="34" t="s">
        <v>54</v>
      </c>
      <c r="Y1102" s="33">
        <v>64.29</v>
      </c>
      <c r="AC1102" s="28">
        <v>64.29</v>
      </c>
      <c r="AD1102" s="34" t="s">
        <v>54</v>
      </c>
      <c r="AE1102" s="33">
        <v>64.29</v>
      </c>
      <c r="AN1102" s="7" t="s">
        <v>54</v>
      </c>
      <c r="AO1102" s="7" t="s">
        <v>55</v>
      </c>
      <c r="AP1102" s="7" t="s">
        <v>56</v>
      </c>
      <c r="AT1102" s="47" t="s">
        <v>57</v>
      </c>
      <c r="AU1102" s="47" t="s">
        <v>57</v>
      </c>
    </row>
    <row r="1103" spans="1:47">
      <c r="A1103" s="4" t="s">
        <v>48</v>
      </c>
      <c r="C1103" s="21"/>
      <c r="D1103" s="22" t="s">
        <v>49</v>
      </c>
      <c r="G1103" s="23">
        <v>45089</v>
      </c>
      <c r="H1103" s="24" t="s">
        <v>3300</v>
      </c>
      <c r="J1103" s="28" t="s">
        <v>51</v>
      </c>
      <c r="L1103" s="24" t="s">
        <v>3301</v>
      </c>
      <c r="M1103" s="1" t="str">
        <f>"341221199605041335"</f>
        <v>341221199605041335</v>
      </c>
      <c r="N1103" s="24" t="s">
        <v>3301</v>
      </c>
      <c r="O1103" s="1" t="str">
        <f>"341221199605041335"</f>
        <v>341221199605041335</v>
      </c>
      <c r="P1103" s="23" t="s">
        <v>3302</v>
      </c>
      <c r="Q1103" s="23">
        <v>45090</v>
      </c>
      <c r="R1103" s="32">
        <v>45456</v>
      </c>
      <c r="V1103" s="33">
        <v>100</v>
      </c>
      <c r="W1103" s="28">
        <v>64.29</v>
      </c>
      <c r="X1103" s="34" t="s">
        <v>54</v>
      </c>
      <c r="Y1103" s="33">
        <v>64.29</v>
      </c>
      <c r="AC1103" s="28">
        <v>64.29</v>
      </c>
      <c r="AD1103" s="34" t="s">
        <v>54</v>
      </c>
      <c r="AE1103" s="33">
        <v>64.29</v>
      </c>
      <c r="AN1103" s="7" t="s">
        <v>54</v>
      </c>
      <c r="AO1103" s="7" t="s">
        <v>55</v>
      </c>
      <c r="AP1103" s="7" t="s">
        <v>56</v>
      </c>
      <c r="AT1103" s="47" t="s">
        <v>57</v>
      </c>
      <c r="AU1103" s="47" t="s">
        <v>57</v>
      </c>
    </row>
    <row r="1104" spans="1:47">
      <c r="A1104" s="4" t="s">
        <v>48</v>
      </c>
      <c r="C1104" s="21"/>
      <c r="D1104" s="22" t="s">
        <v>49</v>
      </c>
      <c r="G1104" s="23">
        <v>45077</v>
      </c>
      <c r="H1104" s="24" t="s">
        <v>3303</v>
      </c>
      <c r="J1104" s="28" t="s">
        <v>51</v>
      </c>
      <c r="L1104" s="24" t="s">
        <v>3304</v>
      </c>
      <c r="M1104" s="1" t="str">
        <f>"342122197401109273"</f>
        <v>342122197401109273</v>
      </c>
      <c r="N1104" s="24" t="s">
        <v>3304</v>
      </c>
      <c r="O1104" s="1" t="str">
        <f>"342122197401109273"</f>
        <v>342122197401109273</v>
      </c>
      <c r="P1104" s="23" t="s">
        <v>3305</v>
      </c>
      <c r="Q1104" s="23">
        <v>45200</v>
      </c>
      <c r="R1104" s="32">
        <v>45566</v>
      </c>
      <c r="V1104" s="33">
        <v>100</v>
      </c>
      <c r="W1104" s="28">
        <v>64.29</v>
      </c>
      <c r="X1104" s="34" t="s">
        <v>54</v>
      </c>
      <c r="Y1104" s="33">
        <v>64.29</v>
      </c>
      <c r="AC1104" s="28">
        <v>64.29</v>
      </c>
      <c r="AD1104" s="34" t="s">
        <v>54</v>
      </c>
      <c r="AE1104" s="33">
        <v>64.29</v>
      </c>
      <c r="AN1104" s="7" t="s">
        <v>54</v>
      </c>
      <c r="AO1104" s="7" t="s">
        <v>55</v>
      </c>
      <c r="AP1104" s="7" t="s">
        <v>56</v>
      </c>
      <c r="AT1104" s="47" t="s">
        <v>57</v>
      </c>
      <c r="AU1104" s="47" t="s">
        <v>57</v>
      </c>
    </row>
    <row r="1105" spans="1:47">
      <c r="A1105" s="4" t="s">
        <v>48</v>
      </c>
      <c r="C1105" s="21"/>
      <c r="D1105" s="22" t="s">
        <v>49</v>
      </c>
      <c r="G1105" s="23">
        <v>45076</v>
      </c>
      <c r="H1105" s="24" t="s">
        <v>3306</v>
      </c>
      <c r="J1105" s="28" t="s">
        <v>51</v>
      </c>
      <c r="L1105" s="24" t="s">
        <v>3307</v>
      </c>
      <c r="M1105" s="1" t="str">
        <f>"130929198805018062"</f>
        <v>130929198805018062</v>
      </c>
      <c r="N1105" s="24" t="s">
        <v>3307</v>
      </c>
      <c r="O1105" s="1" t="str">
        <f>"130929198805018062"</f>
        <v>130929198805018062</v>
      </c>
      <c r="P1105" s="23" t="s">
        <v>3308</v>
      </c>
      <c r="Q1105" s="23">
        <v>45077</v>
      </c>
      <c r="R1105" s="32">
        <v>45443</v>
      </c>
      <c r="V1105" s="33">
        <v>100</v>
      </c>
      <c r="W1105" s="28">
        <v>64.29</v>
      </c>
      <c r="X1105" s="34" t="s">
        <v>54</v>
      </c>
      <c r="Y1105" s="33">
        <v>64.29</v>
      </c>
      <c r="AC1105" s="28">
        <v>64.29</v>
      </c>
      <c r="AD1105" s="34" t="s">
        <v>54</v>
      </c>
      <c r="AE1105" s="33">
        <v>64.29</v>
      </c>
      <c r="AN1105" s="7" t="s">
        <v>54</v>
      </c>
      <c r="AO1105" s="7" t="s">
        <v>55</v>
      </c>
      <c r="AP1105" s="7" t="s">
        <v>56</v>
      </c>
      <c r="AT1105" s="47" t="s">
        <v>57</v>
      </c>
      <c r="AU1105" s="47" t="s">
        <v>57</v>
      </c>
    </row>
    <row r="1106" spans="1:47">
      <c r="A1106" s="4" t="s">
        <v>48</v>
      </c>
      <c r="C1106" s="21"/>
      <c r="D1106" s="22" t="s">
        <v>49</v>
      </c>
      <c r="G1106" s="23">
        <v>45075</v>
      </c>
      <c r="H1106" s="24" t="s">
        <v>3309</v>
      </c>
      <c r="J1106" s="28" t="s">
        <v>51</v>
      </c>
      <c r="L1106" s="24" t="s">
        <v>3310</v>
      </c>
      <c r="M1106" s="1" t="str">
        <f>"513002198110224155"</f>
        <v>513002198110224155</v>
      </c>
      <c r="N1106" s="24" t="s">
        <v>3310</v>
      </c>
      <c r="O1106" s="1" t="str">
        <f>"513002198110224155"</f>
        <v>513002198110224155</v>
      </c>
      <c r="P1106" s="23" t="s">
        <v>3311</v>
      </c>
      <c r="Q1106" s="23">
        <v>45092</v>
      </c>
      <c r="R1106" s="32">
        <v>45458</v>
      </c>
      <c r="V1106" s="33">
        <v>100</v>
      </c>
      <c r="W1106" s="28">
        <v>64.29</v>
      </c>
      <c r="X1106" s="34" t="s">
        <v>54</v>
      </c>
      <c r="Y1106" s="33">
        <v>64.29</v>
      </c>
      <c r="AC1106" s="28">
        <v>64.29</v>
      </c>
      <c r="AD1106" s="34" t="s">
        <v>54</v>
      </c>
      <c r="AE1106" s="33">
        <v>64.29</v>
      </c>
      <c r="AN1106" s="7" t="s">
        <v>54</v>
      </c>
      <c r="AO1106" s="7" t="s">
        <v>55</v>
      </c>
      <c r="AP1106" s="7" t="s">
        <v>56</v>
      </c>
      <c r="AT1106" s="47" t="s">
        <v>57</v>
      </c>
      <c r="AU1106" s="47" t="s">
        <v>57</v>
      </c>
    </row>
    <row r="1107" spans="1:47">
      <c r="A1107" s="4" t="s">
        <v>48</v>
      </c>
      <c r="C1107" s="21"/>
      <c r="D1107" s="22" t="s">
        <v>49</v>
      </c>
      <c r="G1107" s="23">
        <v>45075</v>
      </c>
      <c r="H1107" s="24" t="s">
        <v>3312</v>
      </c>
      <c r="J1107" s="28" t="s">
        <v>51</v>
      </c>
      <c r="L1107" s="24" t="s">
        <v>3313</v>
      </c>
      <c r="M1107" s="1" t="str">
        <f>"220283197905023536"</f>
        <v>220283197905023536</v>
      </c>
      <c r="N1107" s="24" t="s">
        <v>3313</v>
      </c>
      <c r="O1107" s="1" t="str">
        <f>"220283197905023536"</f>
        <v>220283197905023536</v>
      </c>
      <c r="P1107" s="23" t="s">
        <v>3314</v>
      </c>
      <c r="Q1107" s="23">
        <v>45286</v>
      </c>
      <c r="R1107" s="32">
        <v>45652</v>
      </c>
      <c r="V1107" s="33">
        <v>100</v>
      </c>
      <c r="W1107" s="28">
        <v>64.29</v>
      </c>
      <c r="X1107" s="34" t="s">
        <v>54</v>
      </c>
      <c r="Y1107" s="33">
        <v>64.29</v>
      </c>
      <c r="AC1107" s="28">
        <v>64.29</v>
      </c>
      <c r="AD1107" s="34" t="s">
        <v>54</v>
      </c>
      <c r="AE1107" s="33">
        <v>64.29</v>
      </c>
      <c r="AN1107" s="7" t="s">
        <v>54</v>
      </c>
      <c r="AO1107" s="7" t="s">
        <v>55</v>
      </c>
      <c r="AP1107" s="7" t="s">
        <v>56</v>
      </c>
      <c r="AT1107" s="47" t="s">
        <v>57</v>
      </c>
      <c r="AU1107" s="47" t="s">
        <v>57</v>
      </c>
    </row>
    <row r="1108" spans="1:47">
      <c r="A1108" s="4" t="s">
        <v>48</v>
      </c>
      <c r="C1108" s="21"/>
      <c r="D1108" s="22" t="s">
        <v>49</v>
      </c>
      <c r="G1108" s="23">
        <v>45075</v>
      </c>
      <c r="H1108" s="24" t="s">
        <v>3315</v>
      </c>
      <c r="J1108" s="28" t="s">
        <v>51</v>
      </c>
      <c r="L1108" s="24" t="s">
        <v>3316</v>
      </c>
      <c r="M1108" s="1" t="str">
        <f>"341226198506195520"</f>
        <v>341226198506195520</v>
      </c>
      <c r="N1108" s="24" t="s">
        <v>3316</v>
      </c>
      <c r="O1108" s="1" t="str">
        <f>"341226198506195520"</f>
        <v>341226198506195520</v>
      </c>
      <c r="P1108" s="23" t="s">
        <v>3317</v>
      </c>
      <c r="Q1108" s="23">
        <v>45076</v>
      </c>
      <c r="R1108" s="32">
        <v>45442</v>
      </c>
      <c r="V1108" s="33">
        <v>100</v>
      </c>
      <c r="W1108" s="28">
        <v>64.29</v>
      </c>
      <c r="X1108" s="34" t="s">
        <v>54</v>
      </c>
      <c r="Y1108" s="33">
        <v>64.29</v>
      </c>
      <c r="AC1108" s="28">
        <v>64.29</v>
      </c>
      <c r="AD1108" s="34" t="s">
        <v>54</v>
      </c>
      <c r="AE1108" s="33">
        <v>64.29</v>
      </c>
      <c r="AN1108" s="7" t="s">
        <v>54</v>
      </c>
      <c r="AO1108" s="7" t="s">
        <v>55</v>
      </c>
      <c r="AP1108" s="7" t="s">
        <v>56</v>
      </c>
      <c r="AT1108" s="47" t="s">
        <v>57</v>
      </c>
      <c r="AU1108" s="47" t="s">
        <v>57</v>
      </c>
    </row>
    <row r="1109" spans="1:47">
      <c r="A1109" s="4" t="s">
        <v>48</v>
      </c>
      <c r="C1109" s="21"/>
      <c r="D1109" s="22" t="s">
        <v>49</v>
      </c>
      <c r="G1109" s="23">
        <v>45075</v>
      </c>
      <c r="H1109" s="24" t="s">
        <v>3318</v>
      </c>
      <c r="J1109" s="28" t="s">
        <v>51</v>
      </c>
      <c r="L1109" s="24" t="s">
        <v>3319</v>
      </c>
      <c r="M1109" s="1" t="str">
        <f>"341221198710272018"</f>
        <v>341221198710272018</v>
      </c>
      <c r="N1109" s="24" t="s">
        <v>3319</v>
      </c>
      <c r="O1109" s="1" t="str">
        <f>"341221198710272018"</f>
        <v>341221198710272018</v>
      </c>
      <c r="P1109" s="23" t="s">
        <v>3320</v>
      </c>
      <c r="Q1109" s="23">
        <v>45076</v>
      </c>
      <c r="R1109" s="32">
        <v>45442</v>
      </c>
      <c r="V1109" s="33">
        <v>100</v>
      </c>
      <c r="W1109" s="28">
        <v>64.29</v>
      </c>
      <c r="X1109" s="34" t="s">
        <v>54</v>
      </c>
      <c r="Y1109" s="33">
        <v>64.29</v>
      </c>
      <c r="AC1109" s="28">
        <v>64.29</v>
      </c>
      <c r="AD1109" s="34" t="s">
        <v>54</v>
      </c>
      <c r="AE1109" s="33">
        <v>64.29</v>
      </c>
      <c r="AN1109" s="7" t="s">
        <v>54</v>
      </c>
      <c r="AO1109" s="7" t="s">
        <v>55</v>
      </c>
      <c r="AP1109" s="7" t="s">
        <v>56</v>
      </c>
      <c r="AT1109" s="47" t="s">
        <v>57</v>
      </c>
      <c r="AU1109" s="47" t="s">
        <v>57</v>
      </c>
    </row>
    <row r="1110" spans="1:47">
      <c r="A1110" s="4" t="s">
        <v>48</v>
      </c>
      <c r="C1110" s="21"/>
      <c r="D1110" s="22" t="s">
        <v>49</v>
      </c>
      <c r="G1110" s="23">
        <v>45075</v>
      </c>
      <c r="H1110" s="24" t="s">
        <v>3321</v>
      </c>
      <c r="J1110" s="28" t="s">
        <v>51</v>
      </c>
      <c r="L1110" s="24" t="s">
        <v>3322</v>
      </c>
      <c r="M1110" s="1" t="str">
        <f>"341221199009013549"</f>
        <v>341221199009013549</v>
      </c>
      <c r="N1110" s="24" t="s">
        <v>3322</v>
      </c>
      <c r="O1110" s="1" t="str">
        <f>"341221199009013549"</f>
        <v>341221199009013549</v>
      </c>
      <c r="P1110" s="23" t="s">
        <v>3323</v>
      </c>
      <c r="Q1110" s="23">
        <v>45261</v>
      </c>
      <c r="R1110" s="32">
        <v>45627</v>
      </c>
      <c r="V1110" s="33">
        <v>100</v>
      </c>
      <c r="W1110" s="28">
        <v>64.29</v>
      </c>
      <c r="X1110" s="34" t="s">
        <v>54</v>
      </c>
      <c r="Y1110" s="33">
        <v>64.29</v>
      </c>
      <c r="AC1110" s="28">
        <v>64.29</v>
      </c>
      <c r="AD1110" s="34" t="s">
        <v>54</v>
      </c>
      <c r="AE1110" s="33">
        <v>64.29</v>
      </c>
      <c r="AN1110" s="7" t="s">
        <v>54</v>
      </c>
      <c r="AO1110" s="7" t="s">
        <v>55</v>
      </c>
      <c r="AP1110" s="7" t="s">
        <v>56</v>
      </c>
      <c r="AT1110" s="47" t="s">
        <v>57</v>
      </c>
      <c r="AU1110" s="47" t="s">
        <v>57</v>
      </c>
    </row>
    <row r="1111" spans="1:47">
      <c r="A1111" s="4" t="s">
        <v>48</v>
      </c>
      <c r="C1111" s="21"/>
      <c r="D1111" s="22" t="s">
        <v>49</v>
      </c>
      <c r="G1111" s="23">
        <v>45091</v>
      </c>
      <c r="H1111" s="24" t="s">
        <v>3324</v>
      </c>
      <c r="J1111" s="28" t="s">
        <v>51</v>
      </c>
      <c r="L1111" s="24" t="s">
        <v>3325</v>
      </c>
      <c r="M1111" s="1" t="str">
        <f>"110102196208100440"</f>
        <v>110102196208100440</v>
      </c>
      <c r="N1111" s="24" t="s">
        <v>3325</v>
      </c>
      <c r="O1111" s="1" t="str">
        <f>"110102196208100440"</f>
        <v>110102196208100440</v>
      </c>
      <c r="P1111" s="23" t="s">
        <v>3326</v>
      </c>
      <c r="Q1111" s="23">
        <v>45092</v>
      </c>
      <c r="R1111" s="32">
        <v>45458</v>
      </c>
      <c r="V1111" s="33">
        <v>600</v>
      </c>
      <c r="W1111" s="28">
        <v>64.29</v>
      </c>
      <c r="X1111" s="34" t="s">
        <v>54</v>
      </c>
      <c r="Y1111" s="33">
        <v>385.74</v>
      </c>
      <c r="AC1111" s="28">
        <v>64.29</v>
      </c>
      <c r="AD1111" s="34" t="s">
        <v>54</v>
      </c>
      <c r="AE1111" s="33">
        <v>385.74</v>
      </c>
      <c r="AN1111" s="7" t="s">
        <v>54</v>
      </c>
      <c r="AO1111" s="7" t="s">
        <v>55</v>
      </c>
      <c r="AP1111" s="7" t="s">
        <v>56</v>
      </c>
      <c r="AT1111" s="47" t="s">
        <v>57</v>
      </c>
      <c r="AU1111" s="47" t="s">
        <v>57</v>
      </c>
    </row>
    <row r="1112" spans="1:47">
      <c r="A1112" s="4" t="s">
        <v>48</v>
      </c>
      <c r="C1112" s="21"/>
      <c r="D1112" s="22" t="s">
        <v>49</v>
      </c>
      <c r="G1112" s="23">
        <v>45089</v>
      </c>
      <c r="H1112" s="24" t="s">
        <v>3327</v>
      </c>
      <c r="J1112" s="28" t="s">
        <v>51</v>
      </c>
      <c r="L1112" s="24" t="s">
        <v>3328</v>
      </c>
      <c r="M1112" s="1" t="str">
        <f>"341623199408116443"</f>
        <v>341623199408116443</v>
      </c>
      <c r="N1112" s="24" t="s">
        <v>3328</v>
      </c>
      <c r="O1112" s="1" t="str">
        <f>"341623199408116443"</f>
        <v>341623199408116443</v>
      </c>
      <c r="P1112" s="23" t="s">
        <v>3329</v>
      </c>
      <c r="Q1112" s="23">
        <v>45090</v>
      </c>
      <c r="R1112" s="32">
        <v>45456</v>
      </c>
      <c r="V1112" s="33">
        <v>600</v>
      </c>
      <c r="W1112" s="28">
        <v>64.29</v>
      </c>
      <c r="X1112" s="34" t="s">
        <v>54</v>
      </c>
      <c r="Y1112" s="33">
        <v>385.74</v>
      </c>
      <c r="AC1112" s="28">
        <v>64.29</v>
      </c>
      <c r="AD1112" s="34" t="s">
        <v>54</v>
      </c>
      <c r="AE1112" s="33">
        <v>385.74</v>
      </c>
      <c r="AN1112" s="7" t="s">
        <v>54</v>
      </c>
      <c r="AO1112" s="7" t="s">
        <v>55</v>
      </c>
      <c r="AP1112" s="7" t="s">
        <v>56</v>
      </c>
      <c r="AT1112" s="47" t="s">
        <v>57</v>
      </c>
      <c r="AU1112" s="47" t="s">
        <v>57</v>
      </c>
    </row>
    <row r="1113" spans="1:47">
      <c r="A1113" s="4" t="s">
        <v>48</v>
      </c>
      <c r="C1113" s="21"/>
      <c r="D1113" s="22" t="s">
        <v>49</v>
      </c>
      <c r="G1113" s="23">
        <v>45089</v>
      </c>
      <c r="H1113" s="24" t="s">
        <v>3330</v>
      </c>
      <c r="J1113" s="28" t="s">
        <v>51</v>
      </c>
      <c r="L1113" s="24" t="s">
        <v>3331</v>
      </c>
      <c r="M1113" s="1" t="str">
        <f>"341221197209054426"</f>
        <v>341221197209054426</v>
      </c>
      <c r="N1113" s="24" t="s">
        <v>3331</v>
      </c>
      <c r="O1113" s="1" t="str">
        <f>"341221197209054426"</f>
        <v>341221197209054426</v>
      </c>
      <c r="P1113" s="23" t="s">
        <v>3332</v>
      </c>
      <c r="Q1113" s="23">
        <v>45090</v>
      </c>
      <c r="R1113" s="32">
        <v>45456</v>
      </c>
      <c r="V1113" s="33">
        <v>600</v>
      </c>
      <c r="W1113" s="28">
        <v>64.29</v>
      </c>
      <c r="X1113" s="34" t="s">
        <v>54</v>
      </c>
      <c r="Y1113" s="33">
        <v>385.74</v>
      </c>
      <c r="AC1113" s="28">
        <v>64.29</v>
      </c>
      <c r="AD1113" s="34" t="s">
        <v>54</v>
      </c>
      <c r="AE1113" s="33">
        <v>385.74</v>
      </c>
      <c r="AN1113" s="7" t="s">
        <v>54</v>
      </c>
      <c r="AO1113" s="7" t="s">
        <v>55</v>
      </c>
      <c r="AP1113" s="7" t="s">
        <v>56</v>
      </c>
      <c r="AT1113" s="47" t="s">
        <v>57</v>
      </c>
      <c r="AU1113" s="47" t="s">
        <v>57</v>
      </c>
    </row>
    <row r="1114" spans="1:47">
      <c r="A1114" s="4" t="s">
        <v>48</v>
      </c>
      <c r="C1114" s="21"/>
      <c r="D1114" s="22" t="s">
        <v>49</v>
      </c>
      <c r="G1114" s="23">
        <v>45090</v>
      </c>
      <c r="H1114" s="24" t="s">
        <v>3333</v>
      </c>
      <c r="J1114" s="28" t="s">
        <v>51</v>
      </c>
      <c r="L1114" s="24" t="s">
        <v>3334</v>
      </c>
      <c r="M1114" s="1" t="str">
        <f>"110101196209162065"</f>
        <v>110101196209162065</v>
      </c>
      <c r="N1114" s="24" t="s">
        <v>3334</v>
      </c>
      <c r="O1114" s="1" t="str">
        <f>"110101196209162065"</f>
        <v>110101196209162065</v>
      </c>
      <c r="P1114" s="23" t="s">
        <v>3335</v>
      </c>
      <c r="Q1114" s="23">
        <v>45091</v>
      </c>
      <c r="R1114" s="32">
        <v>45457</v>
      </c>
      <c r="V1114" s="33">
        <v>600</v>
      </c>
      <c r="W1114" s="28">
        <v>64.29</v>
      </c>
      <c r="X1114" s="34" t="s">
        <v>54</v>
      </c>
      <c r="Y1114" s="33">
        <v>385.74</v>
      </c>
      <c r="AC1114" s="28">
        <v>64.29</v>
      </c>
      <c r="AD1114" s="34" t="s">
        <v>54</v>
      </c>
      <c r="AE1114" s="33">
        <v>385.74</v>
      </c>
      <c r="AN1114" s="7" t="s">
        <v>54</v>
      </c>
      <c r="AO1114" s="7" t="s">
        <v>55</v>
      </c>
      <c r="AP1114" s="7" t="s">
        <v>56</v>
      </c>
      <c r="AT1114" s="47" t="s">
        <v>57</v>
      </c>
      <c r="AU1114" s="47" t="s">
        <v>57</v>
      </c>
    </row>
    <row r="1115" spans="1:47">
      <c r="A1115" s="4" t="s">
        <v>48</v>
      </c>
      <c r="C1115" s="21"/>
      <c r="D1115" s="22" t="s">
        <v>49</v>
      </c>
      <c r="G1115" s="23">
        <v>45088</v>
      </c>
      <c r="H1115" s="24" t="s">
        <v>3336</v>
      </c>
      <c r="J1115" s="28" t="s">
        <v>51</v>
      </c>
      <c r="L1115" s="24" t="s">
        <v>3337</v>
      </c>
      <c r="M1115" s="1" t="str">
        <f>"341282199503187627"</f>
        <v>341282199503187627</v>
      </c>
      <c r="N1115" s="24" t="s">
        <v>3337</v>
      </c>
      <c r="O1115" s="1" t="str">
        <f>"341282199503187627"</f>
        <v>341282199503187627</v>
      </c>
      <c r="P1115" s="23" t="s">
        <v>3338</v>
      </c>
      <c r="Q1115" s="23">
        <v>45089</v>
      </c>
      <c r="R1115" s="32">
        <v>45455</v>
      </c>
      <c r="V1115" s="33">
        <v>600</v>
      </c>
      <c r="W1115" s="28">
        <v>64.29</v>
      </c>
      <c r="X1115" s="34" t="s">
        <v>54</v>
      </c>
      <c r="Y1115" s="33">
        <v>385.74</v>
      </c>
      <c r="AC1115" s="28">
        <v>64.29</v>
      </c>
      <c r="AD1115" s="34" t="s">
        <v>54</v>
      </c>
      <c r="AE1115" s="33">
        <v>385.74</v>
      </c>
      <c r="AN1115" s="7" t="s">
        <v>54</v>
      </c>
      <c r="AO1115" s="7" t="s">
        <v>55</v>
      </c>
      <c r="AP1115" s="7" t="s">
        <v>56</v>
      </c>
      <c r="AT1115" s="47" t="s">
        <v>57</v>
      </c>
      <c r="AU1115" s="47" t="s">
        <v>57</v>
      </c>
    </row>
    <row r="1116" spans="1:47">
      <c r="A1116" s="4" t="s">
        <v>48</v>
      </c>
      <c r="C1116" s="21"/>
      <c r="D1116" s="22" t="s">
        <v>49</v>
      </c>
      <c r="G1116" s="23">
        <v>45090</v>
      </c>
      <c r="H1116" s="24" t="s">
        <v>3339</v>
      </c>
      <c r="J1116" s="28" t="s">
        <v>51</v>
      </c>
      <c r="L1116" s="24" t="s">
        <v>3340</v>
      </c>
      <c r="M1116" s="1" t="str">
        <f>"622827198210080916"</f>
        <v>622827198210080916</v>
      </c>
      <c r="N1116" s="24" t="s">
        <v>3340</v>
      </c>
      <c r="O1116" s="1" t="str">
        <f>"622827198210080916"</f>
        <v>622827198210080916</v>
      </c>
      <c r="P1116" s="23" t="s">
        <v>3341</v>
      </c>
      <c r="Q1116" s="23">
        <v>45091</v>
      </c>
      <c r="R1116" s="32">
        <v>45457</v>
      </c>
      <c r="V1116" s="33">
        <v>50</v>
      </c>
      <c r="W1116" s="28">
        <v>64.29</v>
      </c>
      <c r="X1116" s="34" t="s">
        <v>54</v>
      </c>
      <c r="Y1116" s="33">
        <v>32.15</v>
      </c>
      <c r="AC1116" s="28">
        <v>64.29</v>
      </c>
      <c r="AD1116" s="34" t="s">
        <v>54</v>
      </c>
      <c r="AE1116" s="33">
        <v>32.15</v>
      </c>
      <c r="AN1116" s="7" t="s">
        <v>54</v>
      </c>
      <c r="AO1116" s="7" t="s">
        <v>55</v>
      </c>
      <c r="AP1116" s="7" t="s">
        <v>56</v>
      </c>
      <c r="AT1116" s="47" t="s">
        <v>57</v>
      </c>
      <c r="AU1116" s="47" t="s">
        <v>57</v>
      </c>
    </row>
    <row r="1117" spans="1:47">
      <c r="A1117" s="4" t="s">
        <v>48</v>
      </c>
      <c r="C1117" s="21"/>
      <c r="D1117" s="22" t="s">
        <v>49</v>
      </c>
      <c r="G1117" s="23">
        <v>45089</v>
      </c>
      <c r="H1117" s="24" t="s">
        <v>3342</v>
      </c>
      <c r="J1117" s="28" t="s">
        <v>51</v>
      </c>
      <c r="L1117" s="24" t="s">
        <v>3343</v>
      </c>
      <c r="M1117" s="1" t="str">
        <f>"350321197812075623"</f>
        <v>350321197812075623</v>
      </c>
      <c r="N1117" s="24" t="s">
        <v>3343</v>
      </c>
      <c r="O1117" s="1" t="str">
        <f>"350321197812075623"</f>
        <v>350321197812075623</v>
      </c>
      <c r="P1117" s="23" t="s">
        <v>3344</v>
      </c>
      <c r="Q1117" s="23">
        <v>45090</v>
      </c>
      <c r="R1117" s="32">
        <v>45456</v>
      </c>
      <c r="V1117" s="33">
        <v>50</v>
      </c>
      <c r="W1117" s="28">
        <v>64.29</v>
      </c>
      <c r="X1117" s="34" t="s">
        <v>54</v>
      </c>
      <c r="Y1117" s="33">
        <v>32.15</v>
      </c>
      <c r="AC1117" s="28">
        <v>64.29</v>
      </c>
      <c r="AD1117" s="34" t="s">
        <v>54</v>
      </c>
      <c r="AE1117" s="33">
        <v>32.15</v>
      </c>
      <c r="AN1117" s="7" t="s">
        <v>54</v>
      </c>
      <c r="AO1117" s="7" t="s">
        <v>55</v>
      </c>
      <c r="AP1117" s="7" t="s">
        <v>56</v>
      </c>
      <c r="AT1117" s="47" t="s">
        <v>57</v>
      </c>
      <c r="AU1117" s="47" t="s">
        <v>57</v>
      </c>
    </row>
    <row r="1118" spans="1:47">
      <c r="A1118" s="4" t="s">
        <v>48</v>
      </c>
      <c r="C1118" s="21"/>
      <c r="D1118" s="22" t="s">
        <v>49</v>
      </c>
      <c r="G1118" s="23">
        <v>45089</v>
      </c>
      <c r="H1118" s="24" t="s">
        <v>3345</v>
      </c>
      <c r="J1118" s="28" t="s">
        <v>51</v>
      </c>
      <c r="L1118" s="24" t="s">
        <v>3346</v>
      </c>
      <c r="M1118" s="1" t="str">
        <f>"34122119900408353X"</f>
        <v>34122119900408353X</v>
      </c>
      <c r="N1118" s="24" t="s">
        <v>3346</v>
      </c>
      <c r="O1118" s="1" t="str">
        <f>"34122119900408353X"</f>
        <v>34122119900408353X</v>
      </c>
      <c r="P1118" s="23" t="s">
        <v>3347</v>
      </c>
      <c r="Q1118" s="23">
        <v>45090</v>
      </c>
      <c r="R1118" s="32">
        <v>45456</v>
      </c>
      <c r="V1118" s="33">
        <v>50</v>
      </c>
      <c r="W1118" s="28">
        <v>64.29</v>
      </c>
      <c r="X1118" s="34" t="s">
        <v>54</v>
      </c>
      <c r="Y1118" s="33">
        <v>32.15</v>
      </c>
      <c r="AC1118" s="28">
        <v>64.29</v>
      </c>
      <c r="AD1118" s="34" t="s">
        <v>54</v>
      </c>
      <c r="AE1118" s="33">
        <v>32.15</v>
      </c>
      <c r="AN1118" s="7" t="s">
        <v>54</v>
      </c>
      <c r="AO1118" s="7" t="s">
        <v>55</v>
      </c>
      <c r="AP1118" s="7" t="s">
        <v>56</v>
      </c>
      <c r="AT1118" s="47" t="s">
        <v>57</v>
      </c>
      <c r="AU1118" s="47" t="s">
        <v>57</v>
      </c>
    </row>
    <row r="1119" spans="1:47">
      <c r="A1119" s="4" t="s">
        <v>48</v>
      </c>
      <c r="C1119" s="21"/>
      <c r="D1119" s="22" t="s">
        <v>49</v>
      </c>
      <c r="G1119" s="23">
        <v>45090</v>
      </c>
      <c r="H1119" s="24" t="s">
        <v>3348</v>
      </c>
      <c r="J1119" s="28" t="s">
        <v>51</v>
      </c>
      <c r="L1119" s="24" t="s">
        <v>3349</v>
      </c>
      <c r="M1119" s="1" t="str">
        <f>"120110195804152711"</f>
        <v>120110195804152711</v>
      </c>
      <c r="N1119" s="24" t="s">
        <v>3349</v>
      </c>
      <c r="O1119" s="1" t="str">
        <f>"120110195804152711"</f>
        <v>120110195804152711</v>
      </c>
      <c r="P1119" s="23" t="s">
        <v>3350</v>
      </c>
      <c r="Q1119" s="23">
        <v>45091</v>
      </c>
      <c r="R1119" s="32">
        <v>45457</v>
      </c>
      <c r="V1119" s="33">
        <v>50</v>
      </c>
      <c r="W1119" s="28">
        <v>64.29</v>
      </c>
      <c r="X1119" s="34" t="s">
        <v>54</v>
      </c>
      <c r="Y1119" s="33">
        <v>32.15</v>
      </c>
      <c r="AC1119" s="28">
        <v>64.29</v>
      </c>
      <c r="AD1119" s="34" t="s">
        <v>54</v>
      </c>
      <c r="AE1119" s="33">
        <v>32.15</v>
      </c>
      <c r="AN1119" s="7" t="s">
        <v>54</v>
      </c>
      <c r="AO1119" s="7" t="s">
        <v>55</v>
      </c>
      <c r="AP1119" s="7" t="s">
        <v>56</v>
      </c>
      <c r="AT1119" s="47" t="s">
        <v>57</v>
      </c>
      <c r="AU1119" s="47" t="s">
        <v>57</v>
      </c>
    </row>
    <row r="1120" spans="1:47">
      <c r="A1120" s="4" t="s">
        <v>48</v>
      </c>
      <c r="C1120" s="21"/>
      <c r="D1120" s="22" t="s">
        <v>49</v>
      </c>
      <c r="G1120" s="23">
        <v>45085</v>
      </c>
      <c r="H1120" s="24" t="s">
        <v>3351</v>
      </c>
      <c r="J1120" s="28" t="s">
        <v>51</v>
      </c>
      <c r="L1120" s="24" t="s">
        <v>3352</v>
      </c>
      <c r="M1120" s="1" t="str">
        <f>"342122196704100036"</f>
        <v>342122196704100036</v>
      </c>
      <c r="N1120" s="24" t="s">
        <v>3352</v>
      </c>
      <c r="O1120" s="1" t="str">
        <f>"342122196704100036"</f>
        <v>342122196704100036</v>
      </c>
      <c r="P1120" s="23" t="s">
        <v>3353</v>
      </c>
      <c r="Q1120" s="23">
        <v>45086</v>
      </c>
      <c r="R1120" s="32">
        <v>45452</v>
      </c>
      <c r="V1120" s="33">
        <v>50</v>
      </c>
      <c r="W1120" s="28">
        <v>64.29</v>
      </c>
      <c r="X1120" s="34" t="s">
        <v>54</v>
      </c>
      <c r="Y1120" s="33">
        <v>32.15</v>
      </c>
      <c r="AC1120" s="28">
        <v>64.29</v>
      </c>
      <c r="AD1120" s="34" t="s">
        <v>54</v>
      </c>
      <c r="AE1120" s="33">
        <v>32.15</v>
      </c>
      <c r="AN1120" s="7" t="s">
        <v>54</v>
      </c>
      <c r="AO1120" s="7" t="s">
        <v>55</v>
      </c>
      <c r="AP1120" s="7" t="s">
        <v>56</v>
      </c>
      <c r="AT1120" s="47" t="s">
        <v>57</v>
      </c>
      <c r="AU1120" s="47" t="s">
        <v>57</v>
      </c>
    </row>
    <row r="1121" spans="1:47">
      <c r="A1121" s="4" t="s">
        <v>48</v>
      </c>
      <c r="C1121" s="21"/>
      <c r="D1121" s="22" t="s">
        <v>49</v>
      </c>
      <c r="G1121" s="23">
        <v>45086</v>
      </c>
      <c r="H1121" s="24" t="s">
        <v>3354</v>
      </c>
      <c r="J1121" s="28" t="s">
        <v>51</v>
      </c>
      <c r="L1121" s="24" t="s">
        <v>3355</v>
      </c>
      <c r="M1121" s="1" t="str">
        <f>"34120419821228022X"</f>
        <v>34120419821228022X</v>
      </c>
      <c r="N1121" s="24" t="s">
        <v>3355</v>
      </c>
      <c r="O1121" s="1" t="str">
        <f>"34120419821228022X"</f>
        <v>34120419821228022X</v>
      </c>
      <c r="P1121" s="23" t="s">
        <v>3356</v>
      </c>
      <c r="Q1121" s="23">
        <v>45087</v>
      </c>
      <c r="R1121" s="32">
        <v>45453</v>
      </c>
      <c r="V1121" s="33">
        <v>50</v>
      </c>
      <c r="W1121" s="28">
        <v>64.29</v>
      </c>
      <c r="X1121" s="34" t="s">
        <v>54</v>
      </c>
      <c r="Y1121" s="33">
        <v>32.15</v>
      </c>
      <c r="AC1121" s="28">
        <v>64.29</v>
      </c>
      <c r="AD1121" s="34" t="s">
        <v>54</v>
      </c>
      <c r="AE1121" s="33">
        <v>32.15</v>
      </c>
      <c r="AN1121" s="7" t="s">
        <v>54</v>
      </c>
      <c r="AO1121" s="7" t="s">
        <v>55</v>
      </c>
      <c r="AP1121" s="7" t="s">
        <v>56</v>
      </c>
      <c r="AT1121" s="47" t="s">
        <v>57</v>
      </c>
      <c r="AU1121" s="47" t="s">
        <v>57</v>
      </c>
    </row>
    <row r="1122" spans="1:47">
      <c r="A1122" s="4" t="s">
        <v>48</v>
      </c>
      <c r="C1122" s="21"/>
      <c r="D1122" s="22" t="s">
        <v>49</v>
      </c>
      <c r="G1122" s="23">
        <v>45087</v>
      </c>
      <c r="H1122" s="24" t="s">
        <v>3357</v>
      </c>
      <c r="J1122" s="28" t="s">
        <v>51</v>
      </c>
      <c r="L1122" s="24" t="s">
        <v>3358</v>
      </c>
      <c r="M1122" s="1" t="str">
        <f>"341221198401069315"</f>
        <v>341221198401069315</v>
      </c>
      <c r="N1122" s="24" t="s">
        <v>3358</v>
      </c>
      <c r="O1122" s="1" t="str">
        <f>"341221198401069315"</f>
        <v>341221198401069315</v>
      </c>
      <c r="P1122" s="23" t="s">
        <v>3359</v>
      </c>
      <c r="Q1122" s="23">
        <v>45088</v>
      </c>
      <c r="R1122" s="32">
        <v>45454</v>
      </c>
      <c r="V1122" s="33">
        <v>50</v>
      </c>
      <c r="W1122" s="28">
        <v>64.29</v>
      </c>
      <c r="X1122" s="34" t="s">
        <v>54</v>
      </c>
      <c r="Y1122" s="33">
        <v>32.15</v>
      </c>
      <c r="AC1122" s="28">
        <v>64.29</v>
      </c>
      <c r="AD1122" s="34" t="s">
        <v>54</v>
      </c>
      <c r="AE1122" s="33">
        <v>32.15</v>
      </c>
      <c r="AN1122" s="7" t="s">
        <v>54</v>
      </c>
      <c r="AO1122" s="7" t="s">
        <v>55</v>
      </c>
      <c r="AP1122" s="7" t="s">
        <v>56</v>
      </c>
      <c r="AT1122" s="47" t="s">
        <v>57</v>
      </c>
      <c r="AU1122" s="47" t="s">
        <v>57</v>
      </c>
    </row>
    <row r="1123" spans="1:47">
      <c r="A1123" s="4" t="s">
        <v>48</v>
      </c>
      <c r="C1123" s="21"/>
      <c r="D1123" s="22" t="s">
        <v>49</v>
      </c>
      <c r="G1123" s="23">
        <v>45086</v>
      </c>
      <c r="H1123" s="24" t="s">
        <v>3360</v>
      </c>
      <c r="J1123" s="28" t="s">
        <v>51</v>
      </c>
      <c r="L1123" s="24" t="s">
        <v>3361</v>
      </c>
      <c r="M1123" s="1" t="str">
        <f>"341221198502120028"</f>
        <v>341221198502120028</v>
      </c>
      <c r="N1123" s="24" t="s">
        <v>3361</v>
      </c>
      <c r="O1123" s="1" t="str">
        <f>"341221198502120028"</f>
        <v>341221198502120028</v>
      </c>
      <c r="P1123" s="23" t="s">
        <v>3362</v>
      </c>
      <c r="Q1123" s="23">
        <v>45087</v>
      </c>
      <c r="R1123" s="32">
        <v>45453</v>
      </c>
      <c r="V1123" s="33">
        <v>50</v>
      </c>
      <c r="W1123" s="28">
        <v>64.29</v>
      </c>
      <c r="X1123" s="34" t="s">
        <v>54</v>
      </c>
      <c r="Y1123" s="33">
        <v>32.15</v>
      </c>
      <c r="AC1123" s="28">
        <v>64.29</v>
      </c>
      <c r="AD1123" s="34" t="s">
        <v>54</v>
      </c>
      <c r="AE1123" s="33">
        <v>32.15</v>
      </c>
      <c r="AN1123" s="7" t="s">
        <v>54</v>
      </c>
      <c r="AO1123" s="7" t="s">
        <v>55</v>
      </c>
      <c r="AP1123" s="7" t="s">
        <v>56</v>
      </c>
      <c r="AT1123" s="47" t="s">
        <v>57</v>
      </c>
      <c r="AU1123" s="47" t="s">
        <v>57</v>
      </c>
    </row>
    <row r="1124" spans="1:47">
      <c r="A1124" s="4" t="s">
        <v>48</v>
      </c>
      <c r="C1124" s="21"/>
      <c r="D1124" s="22" t="s">
        <v>49</v>
      </c>
      <c r="G1124" s="23">
        <v>45086</v>
      </c>
      <c r="H1124" s="24" t="s">
        <v>3363</v>
      </c>
      <c r="J1124" s="28" t="s">
        <v>51</v>
      </c>
      <c r="L1124" s="24" t="s">
        <v>3364</v>
      </c>
      <c r="M1124" s="1" t="str">
        <f>"131022198710282036"</f>
        <v>131022198710282036</v>
      </c>
      <c r="N1124" s="24" t="s">
        <v>3364</v>
      </c>
      <c r="O1124" s="1" t="str">
        <f>"131022198710282036"</f>
        <v>131022198710282036</v>
      </c>
      <c r="P1124" s="23" t="s">
        <v>3365</v>
      </c>
      <c r="Q1124" s="23">
        <v>45087</v>
      </c>
      <c r="R1124" s="32">
        <v>45453</v>
      </c>
      <c r="V1124" s="33">
        <v>50</v>
      </c>
      <c r="W1124" s="28">
        <v>64.29</v>
      </c>
      <c r="X1124" s="34" t="s">
        <v>54</v>
      </c>
      <c r="Y1124" s="33">
        <v>32.15</v>
      </c>
      <c r="AC1124" s="28">
        <v>64.29</v>
      </c>
      <c r="AD1124" s="34" t="s">
        <v>54</v>
      </c>
      <c r="AE1124" s="33">
        <v>32.15</v>
      </c>
      <c r="AN1124" s="7" t="s">
        <v>54</v>
      </c>
      <c r="AO1124" s="7" t="s">
        <v>55</v>
      </c>
      <c r="AP1124" s="7" t="s">
        <v>56</v>
      </c>
      <c r="AT1124" s="47" t="s">
        <v>57</v>
      </c>
      <c r="AU1124" s="47" t="s">
        <v>57</v>
      </c>
    </row>
    <row r="1125" spans="1:47">
      <c r="A1125" s="4" t="s">
        <v>48</v>
      </c>
      <c r="C1125" s="21"/>
      <c r="D1125" s="22" t="s">
        <v>49</v>
      </c>
      <c r="G1125" s="23">
        <v>45097</v>
      </c>
      <c r="H1125" s="24" t="s">
        <v>3366</v>
      </c>
      <c r="J1125" s="28" t="s">
        <v>51</v>
      </c>
      <c r="L1125" s="24" t="s">
        <v>3367</v>
      </c>
      <c r="M1125" s="1" t="str">
        <f>"341221199712305455"</f>
        <v>341221199712305455</v>
      </c>
      <c r="N1125" s="24" t="s">
        <v>3367</v>
      </c>
      <c r="O1125" s="1" t="str">
        <f>"341221199712305455"</f>
        <v>341221199712305455</v>
      </c>
      <c r="P1125" s="23" t="s">
        <v>3368</v>
      </c>
      <c r="Q1125" s="23">
        <v>45098</v>
      </c>
      <c r="R1125" s="32">
        <v>45464</v>
      </c>
      <c r="V1125" s="33">
        <v>100</v>
      </c>
      <c r="W1125" s="28">
        <v>64.29</v>
      </c>
      <c r="X1125" s="34" t="s">
        <v>54</v>
      </c>
      <c r="Y1125" s="33">
        <v>64.29</v>
      </c>
      <c r="AC1125" s="28">
        <v>64.29</v>
      </c>
      <c r="AD1125" s="34" t="s">
        <v>54</v>
      </c>
      <c r="AE1125" s="33">
        <v>64.29</v>
      </c>
      <c r="AN1125" s="7" t="s">
        <v>54</v>
      </c>
      <c r="AO1125" s="7" t="s">
        <v>55</v>
      </c>
      <c r="AP1125" s="7" t="s">
        <v>56</v>
      </c>
      <c r="AT1125" s="47" t="s">
        <v>57</v>
      </c>
      <c r="AU1125" s="47" t="s">
        <v>57</v>
      </c>
    </row>
    <row r="1126" spans="1:47">
      <c r="A1126" s="4" t="s">
        <v>48</v>
      </c>
      <c r="C1126" s="21"/>
      <c r="D1126" s="22" t="s">
        <v>49</v>
      </c>
      <c r="G1126" s="23">
        <v>45075</v>
      </c>
      <c r="H1126" s="24" t="s">
        <v>3369</v>
      </c>
      <c r="J1126" s="28" t="s">
        <v>51</v>
      </c>
      <c r="L1126" s="24" t="s">
        <v>3370</v>
      </c>
      <c r="M1126" s="1" t="str">
        <f>"342101194405270210"</f>
        <v>342101194405270210</v>
      </c>
      <c r="N1126" s="24" t="s">
        <v>3370</v>
      </c>
      <c r="O1126" s="1" t="str">
        <f>"342101194405270210"</f>
        <v>342101194405270210</v>
      </c>
      <c r="P1126" s="23" t="s">
        <v>3371</v>
      </c>
      <c r="Q1126" s="23">
        <v>45076</v>
      </c>
      <c r="R1126" s="32">
        <v>45442</v>
      </c>
      <c r="V1126" s="33">
        <v>100</v>
      </c>
      <c r="W1126" s="28">
        <v>64.29</v>
      </c>
      <c r="X1126" s="34" t="s">
        <v>54</v>
      </c>
      <c r="Y1126" s="33">
        <v>64.29</v>
      </c>
      <c r="AC1126" s="28">
        <v>64.29</v>
      </c>
      <c r="AD1126" s="34" t="s">
        <v>54</v>
      </c>
      <c r="AE1126" s="33">
        <v>64.29</v>
      </c>
      <c r="AN1126" s="7" t="s">
        <v>54</v>
      </c>
      <c r="AO1126" s="7" t="s">
        <v>55</v>
      </c>
      <c r="AP1126" s="7" t="s">
        <v>56</v>
      </c>
      <c r="AT1126" s="47" t="s">
        <v>57</v>
      </c>
      <c r="AU1126" s="47" t="s">
        <v>57</v>
      </c>
    </row>
    <row r="1127" spans="1:47">
      <c r="A1127" s="4" t="s">
        <v>48</v>
      </c>
      <c r="C1127" s="21"/>
      <c r="D1127" s="22" t="s">
        <v>49</v>
      </c>
      <c r="G1127" s="23">
        <v>45075</v>
      </c>
      <c r="H1127" s="24" t="s">
        <v>3372</v>
      </c>
      <c r="J1127" s="28" t="s">
        <v>51</v>
      </c>
      <c r="L1127" s="24" t="s">
        <v>3373</v>
      </c>
      <c r="M1127" s="1" t="str">
        <f>"370403198902190722"</f>
        <v>370403198902190722</v>
      </c>
      <c r="N1127" s="24" t="s">
        <v>3373</v>
      </c>
      <c r="O1127" s="1" t="str">
        <f>"370403198902190722"</f>
        <v>370403198902190722</v>
      </c>
      <c r="P1127" s="23" t="s">
        <v>3374</v>
      </c>
      <c r="Q1127" s="23">
        <v>45229</v>
      </c>
      <c r="R1127" s="32">
        <v>45595</v>
      </c>
      <c r="V1127" s="33">
        <v>100</v>
      </c>
      <c r="W1127" s="28">
        <v>64.29</v>
      </c>
      <c r="X1127" s="34" t="s">
        <v>54</v>
      </c>
      <c r="Y1127" s="33">
        <v>64.29</v>
      </c>
      <c r="AC1127" s="28">
        <v>64.29</v>
      </c>
      <c r="AD1127" s="34" t="s">
        <v>54</v>
      </c>
      <c r="AE1127" s="33">
        <v>64.29</v>
      </c>
      <c r="AN1127" s="7" t="s">
        <v>54</v>
      </c>
      <c r="AO1127" s="7" t="s">
        <v>55</v>
      </c>
      <c r="AP1127" s="7" t="s">
        <v>56</v>
      </c>
      <c r="AT1127" s="47" t="s">
        <v>57</v>
      </c>
      <c r="AU1127" s="47" t="s">
        <v>57</v>
      </c>
    </row>
    <row r="1128" spans="1:47">
      <c r="A1128" s="4" t="s">
        <v>48</v>
      </c>
      <c r="C1128" s="21"/>
      <c r="D1128" s="22" t="s">
        <v>49</v>
      </c>
      <c r="G1128" s="23">
        <v>45075</v>
      </c>
      <c r="H1128" s="24" t="s">
        <v>3375</v>
      </c>
      <c r="J1128" s="28" t="s">
        <v>51</v>
      </c>
      <c r="L1128" s="24" t="s">
        <v>3376</v>
      </c>
      <c r="M1128" s="1" t="str">
        <f>"332602198009184724"</f>
        <v>332602198009184724</v>
      </c>
      <c r="N1128" s="24" t="s">
        <v>3376</v>
      </c>
      <c r="O1128" s="1" t="str">
        <f>"332602198009184724"</f>
        <v>332602198009184724</v>
      </c>
      <c r="P1128" s="23" t="s">
        <v>3377</v>
      </c>
      <c r="Q1128" s="23">
        <v>45076</v>
      </c>
      <c r="R1128" s="32">
        <v>45442</v>
      </c>
      <c r="V1128" s="33">
        <v>100</v>
      </c>
      <c r="W1128" s="28">
        <v>64.29</v>
      </c>
      <c r="X1128" s="34" t="s">
        <v>54</v>
      </c>
      <c r="Y1128" s="33">
        <v>64.29</v>
      </c>
      <c r="AC1128" s="28">
        <v>64.29</v>
      </c>
      <c r="AD1128" s="34" t="s">
        <v>54</v>
      </c>
      <c r="AE1128" s="33">
        <v>64.29</v>
      </c>
      <c r="AN1128" s="7" t="s">
        <v>54</v>
      </c>
      <c r="AO1128" s="7" t="s">
        <v>55</v>
      </c>
      <c r="AP1128" s="7" t="s">
        <v>56</v>
      </c>
      <c r="AT1128" s="47" t="s">
        <v>57</v>
      </c>
      <c r="AU1128" s="47" t="s">
        <v>57</v>
      </c>
    </row>
    <row r="1129" spans="1:47">
      <c r="A1129" s="4" t="s">
        <v>48</v>
      </c>
      <c r="C1129" s="21"/>
      <c r="D1129" s="22" t="s">
        <v>49</v>
      </c>
      <c r="G1129" s="23">
        <v>45076</v>
      </c>
      <c r="H1129" s="24" t="s">
        <v>3378</v>
      </c>
      <c r="J1129" s="28" t="s">
        <v>51</v>
      </c>
      <c r="L1129" s="24" t="s">
        <v>3379</v>
      </c>
      <c r="M1129" s="1" t="str">
        <f>"342201195101109014"</f>
        <v>342201195101109014</v>
      </c>
      <c r="N1129" s="24" t="s">
        <v>3379</v>
      </c>
      <c r="O1129" s="1" t="str">
        <f>"342201195101109014"</f>
        <v>342201195101109014</v>
      </c>
      <c r="P1129" s="23" t="s">
        <v>3380</v>
      </c>
      <c r="Q1129" s="23">
        <v>45077</v>
      </c>
      <c r="R1129" s="32">
        <v>45443</v>
      </c>
      <c r="V1129" s="33">
        <v>100</v>
      </c>
      <c r="W1129" s="28">
        <v>64.29</v>
      </c>
      <c r="X1129" s="34" t="s">
        <v>54</v>
      </c>
      <c r="Y1129" s="33">
        <v>64.29</v>
      </c>
      <c r="AC1129" s="28">
        <v>64.29</v>
      </c>
      <c r="AD1129" s="34" t="s">
        <v>54</v>
      </c>
      <c r="AE1129" s="33">
        <v>64.29</v>
      </c>
      <c r="AN1129" s="7" t="s">
        <v>54</v>
      </c>
      <c r="AO1129" s="7" t="s">
        <v>55</v>
      </c>
      <c r="AP1129" s="7" t="s">
        <v>56</v>
      </c>
      <c r="AT1129" s="47" t="s">
        <v>57</v>
      </c>
      <c r="AU1129" s="47" t="s">
        <v>57</v>
      </c>
    </row>
    <row r="1130" spans="1:47">
      <c r="A1130" s="4" t="s">
        <v>48</v>
      </c>
      <c r="C1130" s="21"/>
      <c r="D1130" s="22" t="s">
        <v>49</v>
      </c>
      <c r="G1130" s="23">
        <v>45085</v>
      </c>
      <c r="H1130" s="24" t="s">
        <v>3381</v>
      </c>
      <c r="J1130" s="28" t="s">
        <v>51</v>
      </c>
      <c r="L1130" s="24" t="s">
        <v>3382</v>
      </c>
      <c r="M1130" s="1" t="str">
        <f>"120222198103111436"</f>
        <v>120222198103111436</v>
      </c>
      <c r="N1130" s="24" t="s">
        <v>3382</v>
      </c>
      <c r="O1130" s="1" t="str">
        <f>"120222198103111436"</f>
        <v>120222198103111436</v>
      </c>
      <c r="P1130" s="23" t="s">
        <v>3383</v>
      </c>
      <c r="Q1130" s="23">
        <v>45086</v>
      </c>
      <c r="R1130" s="32">
        <v>45452</v>
      </c>
      <c r="V1130" s="33">
        <v>600</v>
      </c>
      <c r="W1130" s="28">
        <v>64.29</v>
      </c>
      <c r="X1130" s="34" t="s">
        <v>54</v>
      </c>
      <c r="Y1130" s="33">
        <v>385.74</v>
      </c>
      <c r="AC1130" s="28">
        <v>64.29</v>
      </c>
      <c r="AD1130" s="34" t="s">
        <v>54</v>
      </c>
      <c r="AE1130" s="33">
        <v>385.74</v>
      </c>
      <c r="AN1130" s="7" t="s">
        <v>54</v>
      </c>
      <c r="AO1130" s="7" t="s">
        <v>55</v>
      </c>
      <c r="AP1130" s="7" t="s">
        <v>56</v>
      </c>
      <c r="AT1130" s="47" t="s">
        <v>57</v>
      </c>
      <c r="AU1130" s="47" t="s">
        <v>57</v>
      </c>
    </row>
    <row r="1131" spans="1:47">
      <c r="A1131" s="4" t="s">
        <v>48</v>
      </c>
      <c r="C1131" s="21"/>
      <c r="D1131" s="22" t="s">
        <v>49</v>
      </c>
      <c r="G1131" s="23">
        <v>45085</v>
      </c>
      <c r="H1131" s="24" t="s">
        <v>3384</v>
      </c>
      <c r="J1131" s="28" t="s">
        <v>51</v>
      </c>
      <c r="L1131" s="24" t="s">
        <v>3385</v>
      </c>
      <c r="M1131" s="1" t="str">
        <f>"130623198412225429"</f>
        <v>130623198412225429</v>
      </c>
      <c r="N1131" s="24" t="s">
        <v>3385</v>
      </c>
      <c r="O1131" s="1" t="str">
        <f>"130623198412225429"</f>
        <v>130623198412225429</v>
      </c>
      <c r="P1131" s="23" t="s">
        <v>3386</v>
      </c>
      <c r="Q1131" s="23">
        <v>45086</v>
      </c>
      <c r="R1131" s="32">
        <v>45452</v>
      </c>
      <c r="V1131" s="33">
        <v>600</v>
      </c>
      <c r="W1131" s="28">
        <v>64.29</v>
      </c>
      <c r="X1131" s="34" t="s">
        <v>54</v>
      </c>
      <c r="Y1131" s="33">
        <v>385.74</v>
      </c>
      <c r="AC1131" s="28">
        <v>64.29</v>
      </c>
      <c r="AD1131" s="34" t="s">
        <v>54</v>
      </c>
      <c r="AE1131" s="33">
        <v>385.74</v>
      </c>
      <c r="AN1131" s="7" t="s">
        <v>54</v>
      </c>
      <c r="AO1131" s="7" t="s">
        <v>55</v>
      </c>
      <c r="AP1131" s="7" t="s">
        <v>56</v>
      </c>
      <c r="AT1131" s="47" t="s">
        <v>57</v>
      </c>
      <c r="AU1131" s="47" t="s">
        <v>57</v>
      </c>
    </row>
    <row r="1132" spans="1:47">
      <c r="A1132" s="4" t="s">
        <v>48</v>
      </c>
      <c r="C1132" s="21"/>
      <c r="D1132" s="22" t="s">
        <v>49</v>
      </c>
      <c r="G1132" s="23">
        <v>45086</v>
      </c>
      <c r="H1132" s="24" t="s">
        <v>3387</v>
      </c>
      <c r="J1132" s="28" t="s">
        <v>51</v>
      </c>
      <c r="L1132" s="24" t="s">
        <v>3388</v>
      </c>
      <c r="M1132" s="1" t="str">
        <f>"132821195206242515"</f>
        <v>132821195206242515</v>
      </c>
      <c r="N1132" s="24" t="s">
        <v>3388</v>
      </c>
      <c r="O1132" s="1" t="str">
        <f>"132821195206242515"</f>
        <v>132821195206242515</v>
      </c>
      <c r="P1132" s="23" t="s">
        <v>3389</v>
      </c>
      <c r="Q1132" s="23">
        <v>45087</v>
      </c>
      <c r="R1132" s="32">
        <v>45453</v>
      </c>
      <c r="V1132" s="33">
        <v>50</v>
      </c>
      <c r="W1132" s="28">
        <v>64.29</v>
      </c>
      <c r="X1132" s="34" t="s">
        <v>54</v>
      </c>
      <c r="Y1132" s="33">
        <v>32.15</v>
      </c>
      <c r="AC1132" s="28">
        <v>64.29</v>
      </c>
      <c r="AD1132" s="34" t="s">
        <v>54</v>
      </c>
      <c r="AE1132" s="33">
        <v>32.15</v>
      </c>
      <c r="AN1132" s="7" t="s">
        <v>54</v>
      </c>
      <c r="AO1132" s="7" t="s">
        <v>55</v>
      </c>
      <c r="AP1132" s="7" t="s">
        <v>56</v>
      </c>
      <c r="AT1132" s="47" t="s">
        <v>57</v>
      </c>
      <c r="AU1132" s="47" t="s">
        <v>57</v>
      </c>
    </row>
    <row r="1133" spans="1:47">
      <c r="A1133" s="4" t="s">
        <v>48</v>
      </c>
      <c r="C1133" s="21"/>
      <c r="D1133" s="22" t="s">
        <v>49</v>
      </c>
      <c r="G1133" s="23">
        <v>45085</v>
      </c>
      <c r="H1133" s="24" t="s">
        <v>3390</v>
      </c>
      <c r="J1133" s="28" t="s">
        <v>51</v>
      </c>
      <c r="L1133" s="24" t="s">
        <v>3391</v>
      </c>
      <c r="M1133" s="1" t="str">
        <f>"131082198201242518"</f>
        <v>131082198201242518</v>
      </c>
      <c r="N1133" s="24" t="s">
        <v>3391</v>
      </c>
      <c r="O1133" s="1" t="str">
        <f>"131082198201242518"</f>
        <v>131082198201242518</v>
      </c>
      <c r="P1133" s="23" t="s">
        <v>3392</v>
      </c>
      <c r="Q1133" s="23">
        <v>45086</v>
      </c>
      <c r="R1133" s="32">
        <v>45452</v>
      </c>
      <c r="V1133" s="33">
        <v>50</v>
      </c>
      <c r="W1133" s="28">
        <v>64.29</v>
      </c>
      <c r="X1133" s="34" t="s">
        <v>54</v>
      </c>
      <c r="Y1133" s="33">
        <v>32.15</v>
      </c>
      <c r="AC1133" s="28">
        <v>64.29</v>
      </c>
      <c r="AD1133" s="34" t="s">
        <v>54</v>
      </c>
      <c r="AE1133" s="33">
        <v>32.15</v>
      </c>
      <c r="AN1133" s="7" t="s">
        <v>54</v>
      </c>
      <c r="AO1133" s="7" t="s">
        <v>55</v>
      </c>
      <c r="AP1133" s="7" t="s">
        <v>56</v>
      </c>
      <c r="AT1133" s="47" t="s">
        <v>57</v>
      </c>
      <c r="AU1133" s="47" t="s">
        <v>57</v>
      </c>
    </row>
    <row r="1134" spans="1:47">
      <c r="A1134" s="4" t="s">
        <v>48</v>
      </c>
      <c r="C1134" s="21"/>
      <c r="D1134" s="22" t="s">
        <v>49</v>
      </c>
      <c r="G1134" s="23">
        <v>45097</v>
      </c>
      <c r="H1134" s="24" t="s">
        <v>3393</v>
      </c>
      <c r="J1134" s="28" t="s">
        <v>51</v>
      </c>
      <c r="L1134" s="24" t="s">
        <v>3394</v>
      </c>
      <c r="M1134" s="1" t="str">
        <f>"132821196606282510"</f>
        <v>132821196606282510</v>
      </c>
      <c r="N1134" s="24" t="s">
        <v>3394</v>
      </c>
      <c r="O1134" s="1" t="str">
        <f>"132821196606282510"</f>
        <v>132821196606282510</v>
      </c>
      <c r="P1134" s="23" t="s">
        <v>3395</v>
      </c>
      <c r="Q1134" s="23">
        <v>45098</v>
      </c>
      <c r="R1134" s="32">
        <v>45464</v>
      </c>
      <c r="V1134" s="33">
        <v>100</v>
      </c>
      <c r="W1134" s="28">
        <v>64.29</v>
      </c>
      <c r="X1134" s="34" t="s">
        <v>54</v>
      </c>
      <c r="Y1134" s="33">
        <v>64.29</v>
      </c>
      <c r="AC1134" s="28">
        <v>64.29</v>
      </c>
      <c r="AD1134" s="34" t="s">
        <v>54</v>
      </c>
      <c r="AE1134" s="33">
        <v>64.29</v>
      </c>
      <c r="AN1134" s="7" t="s">
        <v>54</v>
      </c>
      <c r="AO1134" s="7" t="s">
        <v>55</v>
      </c>
      <c r="AP1134" s="7" t="s">
        <v>56</v>
      </c>
      <c r="AT1134" s="47" t="s">
        <v>57</v>
      </c>
      <c r="AU1134" s="47" t="s">
        <v>57</v>
      </c>
    </row>
    <row r="1135" spans="1:47">
      <c r="A1135" s="4" t="s">
        <v>48</v>
      </c>
      <c r="C1135" s="21"/>
      <c r="D1135" s="22" t="s">
        <v>49</v>
      </c>
      <c r="G1135" s="23">
        <v>45096</v>
      </c>
      <c r="H1135" s="24" t="s">
        <v>3396</v>
      </c>
      <c r="J1135" s="28" t="s">
        <v>51</v>
      </c>
      <c r="L1135" s="24" t="s">
        <v>3397</v>
      </c>
      <c r="M1135" s="1" t="str">
        <f>"341221199007068626"</f>
        <v>341221199007068626</v>
      </c>
      <c r="N1135" s="24" t="s">
        <v>3397</v>
      </c>
      <c r="O1135" s="1" t="str">
        <f>"341221199007068626"</f>
        <v>341221199007068626</v>
      </c>
      <c r="P1135" s="23" t="s">
        <v>3398</v>
      </c>
      <c r="Q1135" s="23">
        <v>45219</v>
      </c>
      <c r="R1135" s="32">
        <v>45585</v>
      </c>
      <c r="V1135" s="33">
        <v>100</v>
      </c>
      <c r="W1135" s="28">
        <v>64.29</v>
      </c>
      <c r="X1135" s="34" t="s">
        <v>54</v>
      </c>
      <c r="Y1135" s="33">
        <v>64.29</v>
      </c>
      <c r="AC1135" s="28">
        <v>64.29</v>
      </c>
      <c r="AD1135" s="34" t="s">
        <v>54</v>
      </c>
      <c r="AE1135" s="33">
        <v>64.29</v>
      </c>
      <c r="AN1135" s="7" t="s">
        <v>54</v>
      </c>
      <c r="AO1135" s="7" t="s">
        <v>55</v>
      </c>
      <c r="AP1135" s="7" t="s">
        <v>56</v>
      </c>
      <c r="AT1135" s="47" t="s">
        <v>57</v>
      </c>
      <c r="AU1135" s="47" t="s">
        <v>57</v>
      </c>
    </row>
    <row r="1136" spans="1:47">
      <c r="A1136" s="4" t="s">
        <v>48</v>
      </c>
      <c r="C1136" s="21"/>
      <c r="D1136" s="22" t="s">
        <v>49</v>
      </c>
      <c r="G1136" s="23">
        <v>45096</v>
      </c>
      <c r="H1136" s="24" t="s">
        <v>3399</v>
      </c>
      <c r="J1136" s="28" t="s">
        <v>51</v>
      </c>
      <c r="L1136" s="24" t="s">
        <v>3400</v>
      </c>
      <c r="M1136" s="1" t="str">
        <f>"131082197402088313"</f>
        <v>131082197402088313</v>
      </c>
      <c r="N1136" s="24" t="s">
        <v>3400</v>
      </c>
      <c r="O1136" s="1" t="str">
        <f>"131082197402088313"</f>
        <v>131082197402088313</v>
      </c>
      <c r="P1136" s="23" t="s">
        <v>3401</v>
      </c>
      <c r="Q1136" s="23">
        <v>45097</v>
      </c>
      <c r="R1136" s="32">
        <v>45463</v>
      </c>
      <c r="V1136" s="33">
        <v>100</v>
      </c>
      <c r="W1136" s="28">
        <v>64.29</v>
      </c>
      <c r="X1136" s="34" t="s">
        <v>54</v>
      </c>
      <c r="Y1136" s="33">
        <v>64.29</v>
      </c>
      <c r="AC1136" s="28">
        <v>64.29</v>
      </c>
      <c r="AD1136" s="34" t="s">
        <v>54</v>
      </c>
      <c r="AE1136" s="33">
        <v>64.29</v>
      </c>
      <c r="AN1136" s="7" t="s">
        <v>54</v>
      </c>
      <c r="AO1136" s="7" t="s">
        <v>55</v>
      </c>
      <c r="AP1136" s="7" t="s">
        <v>56</v>
      </c>
      <c r="AT1136" s="47" t="s">
        <v>57</v>
      </c>
      <c r="AU1136" s="47" t="s">
        <v>57</v>
      </c>
    </row>
    <row r="1137" spans="1:47">
      <c r="A1137" s="4" t="s">
        <v>48</v>
      </c>
      <c r="C1137" s="21"/>
      <c r="D1137" s="22" t="s">
        <v>49</v>
      </c>
      <c r="G1137" s="23">
        <v>45085</v>
      </c>
      <c r="H1137" s="24" t="s">
        <v>3402</v>
      </c>
      <c r="J1137" s="28" t="s">
        <v>51</v>
      </c>
      <c r="L1137" s="24" t="s">
        <v>3403</v>
      </c>
      <c r="M1137" s="1" t="str">
        <f>"341221198008074134"</f>
        <v>341221198008074134</v>
      </c>
      <c r="N1137" s="24" t="s">
        <v>3403</v>
      </c>
      <c r="O1137" s="1" t="str">
        <f>"341221198008074134"</f>
        <v>341221198008074134</v>
      </c>
      <c r="P1137" s="23" t="s">
        <v>3404</v>
      </c>
      <c r="Q1137" s="23">
        <v>45086</v>
      </c>
      <c r="R1137" s="32">
        <v>45452</v>
      </c>
      <c r="V1137" s="33">
        <v>100</v>
      </c>
      <c r="W1137" s="28">
        <v>64.29</v>
      </c>
      <c r="X1137" s="34" t="s">
        <v>54</v>
      </c>
      <c r="Y1137" s="33">
        <v>64.29</v>
      </c>
      <c r="AC1137" s="28">
        <v>64.29</v>
      </c>
      <c r="AD1137" s="34" t="s">
        <v>54</v>
      </c>
      <c r="AE1137" s="33">
        <v>64.29</v>
      </c>
      <c r="AN1137" s="7" t="s">
        <v>54</v>
      </c>
      <c r="AO1137" s="7" t="s">
        <v>55</v>
      </c>
      <c r="AP1137" s="7" t="s">
        <v>56</v>
      </c>
      <c r="AT1137" s="47" t="s">
        <v>57</v>
      </c>
      <c r="AU1137" s="47" t="s">
        <v>57</v>
      </c>
    </row>
    <row r="1138" spans="1:47">
      <c r="A1138" s="4" t="s">
        <v>48</v>
      </c>
      <c r="C1138" s="21"/>
      <c r="D1138" s="22" t="s">
        <v>49</v>
      </c>
      <c r="G1138" s="23">
        <v>45086</v>
      </c>
      <c r="H1138" s="24" t="s">
        <v>3405</v>
      </c>
      <c r="J1138" s="28" t="s">
        <v>51</v>
      </c>
      <c r="L1138" s="24" t="s">
        <v>3406</v>
      </c>
      <c r="M1138" s="1" t="str">
        <f>"131082196407262523"</f>
        <v>131082196407262523</v>
      </c>
      <c r="N1138" s="24" t="s">
        <v>3406</v>
      </c>
      <c r="O1138" s="1" t="str">
        <f>"131082196407262523"</f>
        <v>131082196407262523</v>
      </c>
      <c r="P1138" s="23" t="s">
        <v>3407</v>
      </c>
      <c r="Q1138" s="23">
        <v>45087</v>
      </c>
      <c r="R1138" s="32">
        <v>45453</v>
      </c>
      <c r="V1138" s="33">
        <v>100</v>
      </c>
      <c r="W1138" s="28">
        <v>64.29</v>
      </c>
      <c r="X1138" s="34" t="s">
        <v>54</v>
      </c>
      <c r="Y1138" s="33">
        <v>64.29</v>
      </c>
      <c r="AC1138" s="28">
        <v>64.29</v>
      </c>
      <c r="AD1138" s="34" t="s">
        <v>54</v>
      </c>
      <c r="AE1138" s="33">
        <v>64.29</v>
      </c>
      <c r="AN1138" s="7" t="s">
        <v>54</v>
      </c>
      <c r="AO1138" s="7" t="s">
        <v>55</v>
      </c>
      <c r="AP1138" s="7" t="s">
        <v>56</v>
      </c>
      <c r="AT1138" s="47" t="s">
        <v>57</v>
      </c>
      <c r="AU1138" s="47" t="s">
        <v>57</v>
      </c>
    </row>
    <row r="1139" spans="1:47">
      <c r="A1139" s="4" t="s">
        <v>48</v>
      </c>
      <c r="C1139" s="21"/>
      <c r="D1139" s="22" t="s">
        <v>49</v>
      </c>
      <c r="G1139" s="23">
        <v>45087</v>
      </c>
      <c r="H1139" s="24" t="s">
        <v>3408</v>
      </c>
      <c r="J1139" s="28" t="s">
        <v>51</v>
      </c>
      <c r="L1139" s="24" t="s">
        <v>3409</v>
      </c>
      <c r="M1139" s="1" t="str">
        <f>"120222199212317569"</f>
        <v>120222199212317569</v>
      </c>
      <c r="N1139" s="24" t="s">
        <v>3409</v>
      </c>
      <c r="O1139" s="1" t="str">
        <f>"120222199212317569"</f>
        <v>120222199212317569</v>
      </c>
      <c r="P1139" s="23" t="s">
        <v>3410</v>
      </c>
      <c r="Q1139" s="23">
        <v>45088</v>
      </c>
      <c r="R1139" s="32">
        <v>45454</v>
      </c>
      <c r="V1139" s="33">
        <v>100</v>
      </c>
      <c r="W1139" s="28">
        <v>64.29</v>
      </c>
      <c r="X1139" s="34" t="s">
        <v>54</v>
      </c>
      <c r="Y1139" s="33">
        <v>64.29</v>
      </c>
      <c r="AC1139" s="28">
        <v>64.29</v>
      </c>
      <c r="AD1139" s="34" t="s">
        <v>54</v>
      </c>
      <c r="AE1139" s="33">
        <v>64.29</v>
      </c>
      <c r="AN1139" s="7" t="s">
        <v>54</v>
      </c>
      <c r="AO1139" s="7" t="s">
        <v>55</v>
      </c>
      <c r="AP1139" s="7" t="s">
        <v>56</v>
      </c>
      <c r="AT1139" s="47" t="s">
        <v>57</v>
      </c>
      <c r="AU1139" s="47" t="s">
        <v>57</v>
      </c>
    </row>
    <row r="1140" spans="1:47">
      <c r="A1140" s="4" t="s">
        <v>48</v>
      </c>
      <c r="C1140" s="21"/>
      <c r="D1140" s="22" t="s">
        <v>49</v>
      </c>
      <c r="G1140" s="23">
        <v>45085</v>
      </c>
      <c r="H1140" s="24" t="s">
        <v>3411</v>
      </c>
      <c r="J1140" s="28" t="s">
        <v>51</v>
      </c>
      <c r="L1140" s="24" t="s">
        <v>3412</v>
      </c>
      <c r="M1140" s="1" t="str">
        <f>"131082199211247114"</f>
        <v>131082199211247114</v>
      </c>
      <c r="N1140" s="24" t="s">
        <v>3412</v>
      </c>
      <c r="O1140" s="1" t="str">
        <f>"131082199211247114"</f>
        <v>131082199211247114</v>
      </c>
      <c r="P1140" s="23" t="s">
        <v>3413</v>
      </c>
      <c r="Q1140" s="23">
        <v>45086</v>
      </c>
      <c r="R1140" s="32">
        <v>45452</v>
      </c>
      <c r="V1140" s="33">
        <v>100</v>
      </c>
      <c r="W1140" s="28">
        <v>64.29</v>
      </c>
      <c r="X1140" s="34" t="s">
        <v>54</v>
      </c>
      <c r="Y1140" s="33">
        <v>64.29</v>
      </c>
      <c r="AC1140" s="28">
        <v>64.29</v>
      </c>
      <c r="AD1140" s="34" t="s">
        <v>54</v>
      </c>
      <c r="AE1140" s="33">
        <v>64.29</v>
      </c>
      <c r="AN1140" s="7" t="s">
        <v>54</v>
      </c>
      <c r="AO1140" s="7" t="s">
        <v>55</v>
      </c>
      <c r="AP1140" s="7" t="s">
        <v>56</v>
      </c>
      <c r="AT1140" s="47" t="s">
        <v>57</v>
      </c>
      <c r="AU1140" s="47" t="s">
        <v>57</v>
      </c>
    </row>
    <row r="1141" spans="1:47">
      <c r="A1141" s="4" t="s">
        <v>48</v>
      </c>
      <c r="C1141" s="21"/>
      <c r="D1141" s="22" t="s">
        <v>49</v>
      </c>
      <c r="G1141" s="23">
        <v>45086</v>
      </c>
      <c r="H1141" s="24" t="s">
        <v>3414</v>
      </c>
      <c r="J1141" s="28" t="s">
        <v>51</v>
      </c>
      <c r="L1141" s="24" t="s">
        <v>3415</v>
      </c>
      <c r="M1141" s="1" t="str">
        <f>"13282519690210022X"</f>
        <v>13282519690210022X</v>
      </c>
      <c r="N1141" s="24" t="s">
        <v>3415</v>
      </c>
      <c r="O1141" s="1" t="str">
        <f>"13282519690210022X"</f>
        <v>13282519690210022X</v>
      </c>
      <c r="P1141" s="23" t="s">
        <v>3416</v>
      </c>
      <c r="Q1141" s="23">
        <v>45200</v>
      </c>
      <c r="R1141" s="32">
        <v>45566</v>
      </c>
      <c r="V1141" s="33">
        <v>100</v>
      </c>
      <c r="W1141" s="28">
        <v>64.29</v>
      </c>
      <c r="X1141" s="34" t="s">
        <v>54</v>
      </c>
      <c r="Y1141" s="33">
        <v>64.29</v>
      </c>
      <c r="AC1141" s="28">
        <v>64.29</v>
      </c>
      <c r="AD1141" s="34" t="s">
        <v>54</v>
      </c>
      <c r="AE1141" s="33">
        <v>64.29</v>
      </c>
      <c r="AN1141" s="7" t="s">
        <v>54</v>
      </c>
      <c r="AO1141" s="7" t="s">
        <v>55</v>
      </c>
      <c r="AP1141" s="7" t="s">
        <v>56</v>
      </c>
      <c r="AT1141" s="47" t="s">
        <v>57</v>
      </c>
      <c r="AU1141" s="47" t="s">
        <v>57</v>
      </c>
    </row>
    <row r="1142" spans="1:47">
      <c r="A1142" s="4" t="s">
        <v>48</v>
      </c>
      <c r="C1142" s="21"/>
      <c r="D1142" s="22" t="s">
        <v>49</v>
      </c>
      <c r="G1142" s="23">
        <v>45086</v>
      </c>
      <c r="H1142" s="24" t="s">
        <v>3417</v>
      </c>
      <c r="J1142" s="28" t="s">
        <v>51</v>
      </c>
      <c r="L1142" s="24" t="s">
        <v>3418</v>
      </c>
      <c r="M1142" s="1" t="str">
        <f>"132821195503272518"</f>
        <v>132821195503272518</v>
      </c>
      <c r="N1142" s="24" t="s">
        <v>3418</v>
      </c>
      <c r="O1142" s="1" t="str">
        <f>"132821195503272518"</f>
        <v>132821195503272518</v>
      </c>
      <c r="P1142" s="23" t="s">
        <v>3419</v>
      </c>
      <c r="Q1142" s="23">
        <v>45087</v>
      </c>
      <c r="R1142" s="32">
        <v>45453</v>
      </c>
      <c r="V1142" s="33">
        <v>100</v>
      </c>
      <c r="W1142" s="28">
        <v>64.29</v>
      </c>
      <c r="X1142" s="34" t="s">
        <v>54</v>
      </c>
      <c r="Y1142" s="33">
        <v>64.29</v>
      </c>
      <c r="AC1142" s="28">
        <v>64.29</v>
      </c>
      <c r="AD1142" s="34" t="s">
        <v>54</v>
      </c>
      <c r="AE1142" s="33">
        <v>64.29</v>
      </c>
      <c r="AN1142" s="7" t="s">
        <v>54</v>
      </c>
      <c r="AO1142" s="7" t="s">
        <v>55</v>
      </c>
      <c r="AP1142" s="7" t="s">
        <v>56</v>
      </c>
      <c r="AT1142" s="47" t="s">
        <v>57</v>
      </c>
      <c r="AU1142" s="47" t="s">
        <v>57</v>
      </c>
    </row>
    <row r="1143" spans="1:47">
      <c r="A1143" s="4" t="s">
        <v>48</v>
      </c>
      <c r="C1143" s="21"/>
      <c r="D1143" s="22" t="s">
        <v>49</v>
      </c>
      <c r="G1143" s="23">
        <v>45075</v>
      </c>
      <c r="H1143" s="24" t="s">
        <v>3420</v>
      </c>
      <c r="J1143" s="28" t="s">
        <v>51</v>
      </c>
      <c r="L1143" s="24" t="s">
        <v>3421</v>
      </c>
      <c r="M1143" s="1" t="str">
        <f>"132821195711288274"</f>
        <v>132821195711288274</v>
      </c>
      <c r="N1143" s="24" t="s">
        <v>3421</v>
      </c>
      <c r="O1143" s="1" t="str">
        <f>"132821195711288274"</f>
        <v>132821195711288274</v>
      </c>
      <c r="P1143" s="23" t="s">
        <v>3422</v>
      </c>
      <c r="Q1143" s="23">
        <v>45108</v>
      </c>
      <c r="R1143" s="32">
        <v>45474</v>
      </c>
      <c r="V1143" s="33">
        <v>100</v>
      </c>
      <c r="W1143" s="28">
        <v>64.29</v>
      </c>
      <c r="X1143" s="34" t="s">
        <v>54</v>
      </c>
      <c r="Y1143" s="33">
        <v>64.29</v>
      </c>
      <c r="AC1143" s="28">
        <v>64.29</v>
      </c>
      <c r="AD1143" s="34" t="s">
        <v>54</v>
      </c>
      <c r="AE1143" s="33">
        <v>64.29</v>
      </c>
      <c r="AN1143" s="7" t="s">
        <v>54</v>
      </c>
      <c r="AO1143" s="7" t="s">
        <v>55</v>
      </c>
      <c r="AP1143" s="7" t="s">
        <v>56</v>
      </c>
      <c r="AT1143" s="47" t="s">
        <v>57</v>
      </c>
      <c r="AU1143" s="47" t="s">
        <v>57</v>
      </c>
    </row>
    <row r="1144" spans="1:47">
      <c r="A1144" s="4" t="s">
        <v>48</v>
      </c>
      <c r="C1144" s="21"/>
      <c r="D1144" s="22" t="s">
        <v>49</v>
      </c>
      <c r="G1144" s="23">
        <v>45076</v>
      </c>
      <c r="H1144" s="24" t="s">
        <v>3423</v>
      </c>
      <c r="J1144" s="28" t="s">
        <v>51</v>
      </c>
      <c r="L1144" s="24" t="s">
        <v>3424</v>
      </c>
      <c r="M1144" s="1" t="str">
        <f>"132825195802232415"</f>
        <v>132825195802232415</v>
      </c>
      <c r="N1144" s="24" t="s">
        <v>3424</v>
      </c>
      <c r="O1144" s="1" t="str">
        <f>"132825195802232415"</f>
        <v>132825195802232415</v>
      </c>
      <c r="P1144" s="23" t="s">
        <v>3425</v>
      </c>
      <c r="Q1144" s="23">
        <v>45077</v>
      </c>
      <c r="R1144" s="32">
        <v>45443</v>
      </c>
      <c r="V1144" s="33">
        <v>100</v>
      </c>
      <c r="W1144" s="28">
        <v>64.29</v>
      </c>
      <c r="X1144" s="34" t="s">
        <v>54</v>
      </c>
      <c r="Y1144" s="33">
        <v>64.29</v>
      </c>
      <c r="AC1144" s="28">
        <v>64.29</v>
      </c>
      <c r="AD1144" s="34" t="s">
        <v>54</v>
      </c>
      <c r="AE1144" s="33">
        <v>64.29</v>
      </c>
      <c r="AN1144" s="7" t="s">
        <v>54</v>
      </c>
      <c r="AO1144" s="7" t="s">
        <v>55</v>
      </c>
      <c r="AP1144" s="7" t="s">
        <v>56</v>
      </c>
      <c r="AT1144" s="47" t="s">
        <v>57</v>
      </c>
      <c r="AU1144" s="47" t="s">
        <v>57</v>
      </c>
    </row>
    <row r="1145" spans="1:47">
      <c r="A1145" s="4" t="s">
        <v>48</v>
      </c>
      <c r="C1145" s="21"/>
      <c r="D1145" s="22" t="s">
        <v>49</v>
      </c>
      <c r="G1145" s="23">
        <v>45072</v>
      </c>
      <c r="H1145" s="24" t="s">
        <v>3426</v>
      </c>
      <c r="J1145" s="28" t="s">
        <v>51</v>
      </c>
      <c r="L1145" s="24" t="s">
        <v>3427</v>
      </c>
      <c r="M1145" s="1" t="str">
        <f>"131082198507290539"</f>
        <v>131082198507290539</v>
      </c>
      <c r="N1145" s="24" t="s">
        <v>3427</v>
      </c>
      <c r="O1145" s="1" t="str">
        <f>"131082198507290539"</f>
        <v>131082198507290539</v>
      </c>
      <c r="P1145" s="23" t="s">
        <v>3428</v>
      </c>
      <c r="Q1145" s="23">
        <v>45073</v>
      </c>
      <c r="R1145" s="32">
        <v>45439</v>
      </c>
      <c r="V1145" s="33">
        <v>100</v>
      </c>
      <c r="W1145" s="28">
        <v>64.29</v>
      </c>
      <c r="X1145" s="34" t="s">
        <v>54</v>
      </c>
      <c r="Y1145" s="33">
        <v>64.29</v>
      </c>
      <c r="AC1145" s="28">
        <v>64.29</v>
      </c>
      <c r="AD1145" s="34" t="s">
        <v>54</v>
      </c>
      <c r="AE1145" s="33">
        <v>64.29</v>
      </c>
      <c r="AN1145" s="7" t="s">
        <v>54</v>
      </c>
      <c r="AO1145" s="7" t="s">
        <v>55</v>
      </c>
      <c r="AP1145" s="7" t="s">
        <v>56</v>
      </c>
      <c r="AT1145" s="47" t="s">
        <v>57</v>
      </c>
      <c r="AU1145" s="47" t="s">
        <v>57</v>
      </c>
    </row>
    <row r="1146" spans="1:47">
      <c r="A1146" s="4" t="s">
        <v>48</v>
      </c>
      <c r="C1146" s="21"/>
      <c r="D1146" s="22" t="s">
        <v>49</v>
      </c>
      <c r="G1146" s="23">
        <v>45086</v>
      </c>
      <c r="H1146" s="24" t="s">
        <v>3429</v>
      </c>
      <c r="J1146" s="28" t="s">
        <v>51</v>
      </c>
      <c r="L1146" s="24" t="s">
        <v>3430</v>
      </c>
      <c r="M1146" s="1" t="str">
        <f>"131082198703082550"</f>
        <v>131082198703082550</v>
      </c>
      <c r="N1146" s="24" t="s">
        <v>3430</v>
      </c>
      <c r="O1146" s="1" t="str">
        <f>"131082198703082550"</f>
        <v>131082198703082550</v>
      </c>
      <c r="P1146" s="23" t="s">
        <v>3419</v>
      </c>
      <c r="Q1146" s="23">
        <v>45087</v>
      </c>
      <c r="R1146" s="32">
        <v>45453</v>
      </c>
      <c r="V1146" s="33">
        <v>50</v>
      </c>
      <c r="W1146" s="28">
        <v>64.29</v>
      </c>
      <c r="X1146" s="34" t="s">
        <v>54</v>
      </c>
      <c r="Y1146" s="33">
        <v>32.15</v>
      </c>
      <c r="AC1146" s="28">
        <v>64.29</v>
      </c>
      <c r="AD1146" s="34" t="s">
        <v>54</v>
      </c>
      <c r="AE1146" s="33">
        <v>32.15</v>
      </c>
      <c r="AN1146" s="7" t="s">
        <v>54</v>
      </c>
      <c r="AO1146" s="7" t="s">
        <v>55</v>
      </c>
      <c r="AP1146" s="7" t="s">
        <v>56</v>
      </c>
      <c r="AT1146" s="47" t="s">
        <v>57</v>
      </c>
      <c r="AU1146" s="47" t="s">
        <v>57</v>
      </c>
    </row>
    <row r="1147" spans="1:47">
      <c r="A1147" s="4" t="s">
        <v>48</v>
      </c>
      <c r="C1147" s="21"/>
      <c r="D1147" s="22" t="s">
        <v>49</v>
      </c>
      <c r="G1147" s="23">
        <v>45086</v>
      </c>
      <c r="H1147" s="24" t="s">
        <v>3431</v>
      </c>
      <c r="J1147" s="28" t="s">
        <v>51</v>
      </c>
      <c r="L1147" s="24" t="s">
        <v>3432</v>
      </c>
      <c r="M1147" s="1" t="str">
        <f>"342201195101109014"</f>
        <v>342201195101109014</v>
      </c>
      <c r="N1147" s="24" t="s">
        <v>3432</v>
      </c>
      <c r="O1147" s="1" t="str">
        <f>"342201195101109014"</f>
        <v>342201195101109014</v>
      </c>
      <c r="P1147" s="23" t="s">
        <v>3380</v>
      </c>
      <c r="Q1147" s="23">
        <v>45087</v>
      </c>
      <c r="R1147" s="32">
        <v>45453</v>
      </c>
      <c r="V1147" s="33">
        <v>50</v>
      </c>
      <c r="W1147" s="28">
        <v>64.29</v>
      </c>
      <c r="X1147" s="34" t="s">
        <v>54</v>
      </c>
      <c r="Y1147" s="33">
        <v>32.15</v>
      </c>
      <c r="AC1147" s="28">
        <v>64.29</v>
      </c>
      <c r="AD1147" s="34" t="s">
        <v>54</v>
      </c>
      <c r="AE1147" s="33">
        <v>32.15</v>
      </c>
      <c r="AN1147" s="7" t="s">
        <v>54</v>
      </c>
      <c r="AO1147" s="7" t="s">
        <v>55</v>
      </c>
      <c r="AP1147" s="7" t="s">
        <v>56</v>
      </c>
      <c r="AT1147" s="47" t="s">
        <v>57</v>
      </c>
      <c r="AU1147" s="47" t="s">
        <v>57</v>
      </c>
    </row>
    <row r="1148" spans="1:47">
      <c r="A1148" s="4" t="s">
        <v>48</v>
      </c>
      <c r="C1148" s="21"/>
      <c r="D1148" s="22" t="s">
        <v>49</v>
      </c>
      <c r="G1148" s="23">
        <v>45086</v>
      </c>
      <c r="H1148" s="24" t="s">
        <v>3433</v>
      </c>
      <c r="J1148" s="28" t="s">
        <v>51</v>
      </c>
      <c r="L1148" s="24" t="s">
        <v>3434</v>
      </c>
      <c r="M1148" s="1" t="str">
        <f>"411024197112271615"</f>
        <v>411024197112271615</v>
      </c>
      <c r="N1148" s="24" t="s">
        <v>3434</v>
      </c>
      <c r="O1148" s="1" t="str">
        <f>"411024197112271615"</f>
        <v>411024197112271615</v>
      </c>
      <c r="P1148" s="23" t="s">
        <v>3435</v>
      </c>
      <c r="Q1148" s="23">
        <v>45087</v>
      </c>
      <c r="R1148" s="32">
        <v>45453</v>
      </c>
      <c r="V1148" s="33">
        <v>50</v>
      </c>
      <c r="W1148" s="28">
        <v>64.29</v>
      </c>
      <c r="X1148" s="34" t="s">
        <v>54</v>
      </c>
      <c r="Y1148" s="33">
        <v>32.15</v>
      </c>
      <c r="AC1148" s="28">
        <v>64.29</v>
      </c>
      <c r="AD1148" s="34" t="s">
        <v>54</v>
      </c>
      <c r="AE1148" s="33">
        <v>32.15</v>
      </c>
      <c r="AN1148" s="7" t="s">
        <v>54</v>
      </c>
      <c r="AO1148" s="7" t="s">
        <v>55</v>
      </c>
      <c r="AP1148" s="7" t="s">
        <v>56</v>
      </c>
      <c r="AT1148" s="47" t="s">
        <v>57</v>
      </c>
      <c r="AU1148" s="47" t="s">
        <v>57</v>
      </c>
    </row>
    <row r="1149" spans="1:47">
      <c r="A1149" s="4" t="s">
        <v>48</v>
      </c>
      <c r="C1149" s="21"/>
      <c r="D1149" s="22" t="s">
        <v>49</v>
      </c>
      <c r="G1149" s="23">
        <v>45086</v>
      </c>
      <c r="H1149" s="24" t="s">
        <v>3436</v>
      </c>
      <c r="J1149" s="28" t="s">
        <v>51</v>
      </c>
      <c r="L1149" s="24" t="s">
        <v>3437</v>
      </c>
      <c r="M1149" s="1" t="str">
        <f>"131082198508152525"</f>
        <v>131082198508152525</v>
      </c>
      <c r="N1149" s="24" t="s">
        <v>3437</v>
      </c>
      <c r="O1149" s="1" t="str">
        <f>"131082198508152525"</f>
        <v>131082198508152525</v>
      </c>
      <c r="P1149" s="23" t="s">
        <v>3438</v>
      </c>
      <c r="Q1149" s="23">
        <v>45087</v>
      </c>
      <c r="R1149" s="32">
        <v>45453</v>
      </c>
      <c r="V1149" s="33">
        <v>50</v>
      </c>
      <c r="W1149" s="28">
        <v>64.29</v>
      </c>
      <c r="X1149" s="34" t="s">
        <v>54</v>
      </c>
      <c r="Y1149" s="33">
        <v>32.15</v>
      </c>
      <c r="AC1149" s="28">
        <v>64.29</v>
      </c>
      <c r="AD1149" s="34" t="s">
        <v>54</v>
      </c>
      <c r="AE1149" s="33">
        <v>32.15</v>
      </c>
      <c r="AN1149" s="7" t="s">
        <v>54</v>
      </c>
      <c r="AO1149" s="7" t="s">
        <v>55</v>
      </c>
      <c r="AP1149" s="7" t="s">
        <v>56</v>
      </c>
      <c r="AT1149" s="47" t="s">
        <v>57</v>
      </c>
      <c r="AU1149" s="47" t="s">
        <v>57</v>
      </c>
    </row>
    <row r="1150" spans="1:47">
      <c r="A1150" s="4" t="s">
        <v>48</v>
      </c>
      <c r="C1150" s="21"/>
      <c r="D1150" s="22" t="s">
        <v>49</v>
      </c>
      <c r="G1150" s="23">
        <v>45087</v>
      </c>
      <c r="H1150" s="24" t="s">
        <v>3439</v>
      </c>
      <c r="J1150" s="28" t="s">
        <v>51</v>
      </c>
      <c r="L1150" s="24" t="s">
        <v>3440</v>
      </c>
      <c r="M1150" s="1" t="str">
        <f>"132821195701148278"</f>
        <v>132821195701148278</v>
      </c>
      <c r="N1150" s="24" t="s">
        <v>3440</v>
      </c>
      <c r="O1150" s="1" t="str">
        <f>"132821195701148278"</f>
        <v>132821195701148278</v>
      </c>
      <c r="P1150" s="23" t="s">
        <v>3441</v>
      </c>
      <c r="Q1150" s="23">
        <v>45088</v>
      </c>
      <c r="R1150" s="32">
        <v>45454</v>
      </c>
      <c r="V1150" s="33">
        <v>50</v>
      </c>
      <c r="W1150" s="28">
        <v>64.29</v>
      </c>
      <c r="X1150" s="34" t="s">
        <v>54</v>
      </c>
      <c r="Y1150" s="33">
        <v>32.15</v>
      </c>
      <c r="AC1150" s="28">
        <v>64.29</v>
      </c>
      <c r="AD1150" s="34" t="s">
        <v>54</v>
      </c>
      <c r="AE1150" s="33">
        <v>32.15</v>
      </c>
      <c r="AN1150" s="7" t="s">
        <v>54</v>
      </c>
      <c r="AO1150" s="7" t="s">
        <v>55</v>
      </c>
      <c r="AP1150" s="7" t="s">
        <v>56</v>
      </c>
      <c r="AT1150" s="47" t="s">
        <v>57</v>
      </c>
      <c r="AU1150" s="47" t="s">
        <v>57</v>
      </c>
    </row>
    <row r="1151" spans="1:47">
      <c r="A1151" s="4" t="s">
        <v>48</v>
      </c>
      <c r="C1151" s="21"/>
      <c r="D1151" s="22" t="s">
        <v>49</v>
      </c>
      <c r="G1151" s="23">
        <v>45096</v>
      </c>
      <c r="H1151" s="24" t="s">
        <v>3442</v>
      </c>
      <c r="J1151" s="28" t="s">
        <v>51</v>
      </c>
      <c r="L1151" s="24" t="s">
        <v>3443</v>
      </c>
      <c r="M1151" s="1" t="str">
        <f>"131082195310202538"</f>
        <v>131082195310202538</v>
      </c>
      <c r="N1151" s="24" t="s">
        <v>3443</v>
      </c>
      <c r="O1151" s="1" t="str">
        <f>"131082195310202538"</f>
        <v>131082195310202538</v>
      </c>
      <c r="P1151" s="23" t="s">
        <v>3444</v>
      </c>
      <c r="Q1151" s="23">
        <v>45097</v>
      </c>
      <c r="R1151" s="32">
        <v>45463</v>
      </c>
      <c r="V1151" s="33">
        <v>100</v>
      </c>
      <c r="W1151" s="28">
        <v>64.29</v>
      </c>
      <c r="X1151" s="34" t="s">
        <v>54</v>
      </c>
      <c r="Y1151" s="33">
        <v>64.29</v>
      </c>
      <c r="AC1151" s="28">
        <v>64.29</v>
      </c>
      <c r="AD1151" s="34" t="s">
        <v>54</v>
      </c>
      <c r="AE1151" s="33">
        <v>64.29</v>
      </c>
      <c r="AN1151" s="7" t="s">
        <v>54</v>
      </c>
      <c r="AO1151" s="7" t="s">
        <v>55</v>
      </c>
      <c r="AP1151" s="7" t="s">
        <v>56</v>
      </c>
      <c r="AT1151" s="47" t="s">
        <v>57</v>
      </c>
      <c r="AU1151" s="47" t="s">
        <v>57</v>
      </c>
    </row>
    <row r="1152" spans="1:47">
      <c r="A1152" s="4" t="s">
        <v>48</v>
      </c>
      <c r="C1152" s="21"/>
      <c r="D1152" s="22" t="s">
        <v>49</v>
      </c>
      <c r="G1152" s="23">
        <v>45096</v>
      </c>
      <c r="H1152" s="24" t="s">
        <v>3445</v>
      </c>
      <c r="J1152" s="28" t="s">
        <v>51</v>
      </c>
      <c r="L1152" s="24" t="s">
        <v>3446</v>
      </c>
      <c r="M1152" s="1" t="str">
        <f>"132821196106092518"</f>
        <v>132821196106092518</v>
      </c>
      <c r="N1152" s="24" t="s">
        <v>3446</v>
      </c>
      <c r="O1152" s="1" t="str">
        <f>"132821196106092518"</f>
        <v>132821196106092518</v>
      </c>
      <c r="P1152" s="23" t="s">
        <v>3447</v>
      </c>
      <c r="Q1152" s="23">
        <v>45097</v>
      </c>
      <c r="R1152" s="32">
        <v>45463</v>
      </c>
      <c r="V1152" s="33">
        <v>100</v>
      </c>
      <c r="W1152" s="28">
        <v>64.29</v>
      </c>
      <c r="X1152" s="34" t="s">
        <v>54</v>
      </c>
      <c r="Y1152" s="33">
        <v>64.29</v>
      </c>
      <c r="AC1152" s="28">
        <v>64.29</v>
      </c>
      <c r="AD1152" s="34" t="s">
        <v>54</v>
      </c>
      <c r="AE1152" s="33">
        <v>64.29</v>
      </c>
      <c r="AN1152" s="7" t="s">
        <v>54</v>
      </c>
      <c r="AO1152" s="7" t="s">
        <v>55</v>
      </c>
      <c r="AP1152" s="7" t="s">
        <v>56</v>
      </c>
      <c r="AT1152" s="47" t="s">
        <v>57</v>
      </c>
      <c r="AU1152" s="47" t="s">
        <v>57</v>
      </c>
    </row>
    <row r="1153" spans="1:47">
      <c r="A1153" s="4" t="s">
        <v>48</v>
      </c>
      <c r="C1153" s="21"/>
      <c r="D1153" s="22" t="s">
        <v>49</v>
      </c>
      <c r="G1153" s="23">
        <v>45096</v>
      </c>
      <c r="H1153" s="24" t="s">
        <v>3448</v>
      </c>
      <c r="J1153" s="28" t="s">
        <v>51</v>
      </c>
      <c r="L1153" s="24" t="s">
        <v>3449</v>
      </c>
      <c r="M1153" s="1" t="str">
        <f>"132821195701148278"</f>
        <v>132821195701148278</v>
      </c>
      <c r="N1153" s="24" t="s">
        <v>3449</v>
      </c>
      <c r="O1153" s="1" t="str">
        <f>"132821195701148278"</f>
        <v>132821195701148278</v>
      </c>
      <c r="P1153" s="23" t="s">
        <v>3441</v>
      </c>
      <c r="Q1153" s="23">
        <v>45158</v>
      </c>
      <c r="R1153" s="32">
        <v>45524</v>
      </c>
      <c r="V1153" s="33">
        <v>100</v>
      </c>
      <c r="W1153" s="28">
        <v>64.29</v>
      </c>
      <c r="X1153" s="34" t="s">
        <v>54</v>
      </c>
      <c r="Y1153" s="33">
        <v>64.29</v>
      </c>
      <c r="AC1153" s="28">
        <v>64.29</v>
      </c>
      <c r="AD1153" s="34" t="s">
        <v>54</v>
      </c>
      <c r="AE1153" s="33">
        <v>64.29</v>
      </c>
      <c r="AN1153" s="7" t="s">
        <v>54</v>
      </c>
      <c r="AO1153" s="7" t="s">
        <v>55</v>
      </c>
      <c r="AP1153" s="7" t="s">
        <v>56</v>
      </c>
      <c r="AT1153" s="47" t="s">
        <v>57</v>
      </c>
      <c r="AU1153" s="47" t="s">
        <v>57</v>
      </c>
    </row>
    <row r="1154" spans="1:47">
      <c r="A1154" s="4" t="s">
        <v>48</v>
      </c>
      <c r="C1154" s="21"/>
      <c r="D1154" s="22" t="s">
        <v>49</v>
      </c>
      <c r="G1154" s="23">
        <v>45085</v>
      </c>
      <c r="H1154" s="24" t="s">
        <v>3450</v>
      </c>
      <c r="J1154" s="28" t="s">
        <v>51</v>
      </c>
      <c r="L1154" s="24" t="s">
        <v>3451</v>
      </c>
      <c r="M1154" s="1" t="str">
        <f>"342201197501134779"</f>
        <v>342201197501134779</v>
      </c>
      <c r="N1154" s="24" t="s">
        <v>3451</v>
      </c>
      <c r="O1154" s="1" t="str">
        <f>"342201197501134779"</f>
        <v>342201197501134779</v>
      </c>
      <c r="P1154" s="23" t="s">
        <v>3452</v>
      </c>
      <c r="Q1154" s="23">
        <v>45086</v>
      </c>
      <c r="R1154" s="32">
        <v>45452</v>
      </c>
      <c r="V1154" s="33">
        <v>100</v>
      </c>
      <c r="W1154" s="28">
        <v>64.29</v>
      </c>
      <c r="X1154" s="34" t="s">
        <v>54</v>
      </c>
      <c r="Y1154" s="33">
        <v>64.29</v>
      </c>
      <c r="AC1154" s="28">
        <v>64.29</v>
      </c>
      <c r="AD1154" s="34" t="s">
        <v>54</v>
      </c>
      <c r="AE1154" s="33">
        <v>64.29</v>
      </c>
      <c r="AN1154" s="7" t="s">
        <v>54</v>
      </c>
      <c r="AO1154" s="7" t="s">
        <v>55</v>
      </c>
      <c r="AP1154" s="7" t="s">
        <v>56</v>
      </c>
      <c r="AT1154" s="47" t="s">
        <v>57</v>
      </c>
      <c r="AU1154" s="47" t="s">
        <v>57</v>
      </c>
    </row>
    <row r="1155" spans="1:47">
      <c r="A1155" s="4" t="s">
        <v>48</v>
      </c>
      <c r="C1155" s="21"/>
      <c r="D1155" s="22" t="s">
        <v>49</v>
      </c>
      <c r="G1155" s="23">
        <v>45086</v>
      </c>
      <c r="H1155" s="24" t="s">
        <v>3453</v>
      </c>
      <c r="J1155" s="28" t="s">
        <v>51</v>
      </c>
      <c r="L1155" s="24" t="s">
        <v>3454</v>
      </c>
      <c r="M1155" s="1" t="str">
        <f>"132821195504288271"</f>
        <v>132821195504288271</v>
      </c>
      <c r="N1155" s="24" t="s">
        <v>3454</v>
      </c>
      <c r="O1155" s="1" t="str">
        <f>"132821195504288271"</f>
        <v>132821195504288271</v>
      </c>
      <c r="P1155" s="23" t="s">
        <v>3455</v>
      </c>
      <c r="Q1155" s="23">
        <v>45087</v>
      </c>
      <c r="R1155" s="32">
        <v>45453</v>
      </c>
      <c r="V1155" s="33">
        <v>100</v>
      </c>
      <c r="W1155" s="28">
        <v>64.29</v>
      </c>
      <c r="X1155" s="34" t="s">
        <v>54</v>
      </c>
      <c r="Y1155" s="33">
        <v>64.29</v>
      </c>
      <c r="AC1155" s="28">
        <v>64.29</v>
      </c>
      <c r="AD1155" s="34" t="s">
        <v>54</v>
      </c>
      <c r="AE1155" s="33">
        <v>64.29</v>
      </c>
      <c r="AN1155" s="7" t="s">
        <v>54</v>
      </c>
      <c r="AO1155" s="7" t="s">
        <v>55</v>
      </c>
      <c r="AP1155" s="7" t="s">
        <v>56</v>
      </c>
      <c r="AT1155" s="47" t="s">
        <v>57</v>
      </c>
      <c r="AU1155" s="47" t="s">
        <v>57</v>
      </c>
    </row>
    <row r="1156" spans="1:47">
      <c r="A1156" s="4" t="s">
        <v>48</v>
      </c>
      <c r="C1156" s="21"/>
      <c r="D1156" s="22" t="s">
        <v>49</v>
      </c>
      <c r="G1156" s="23">
        <v>45085</v>
      </c>
      <c r="H1156" s="24" t="s">
        <v>3456</v>
      </c>
      <c r="J1156" s="28" t="s">
        <v>51</v>
      </c>
      <c r="L1156" s="24" t="s">
        <v>1225</v>
      </c>
      <c r="M1156" s="1" t="str">
        <f>"120224196805241925"</f>
        <v>120224196805241925</v>
      </c>
      <c r="N1156" s="24" t="s">
        <v>1225</v>
      </c>
      <c r="O1156" s="1" t="str">
        <f>"120224196805241925"</f>
        <v>120224196805241925</v>
      </c>
      <c r="P1156" s="23" t="s">
        <v>3457</v>
      </c>
      <c r="Q1156" s="23">
        <v>45086</v>
      </c>
      <c r="R1156" s="32">
        <v>45452</v>
      </c>
      <c r="V1156" s="33">
        <v>100</v>
      </c>
      <c r="W1156" s="28">
        <v>64.29</v>
      </c>
      <c r="X1156" s="34" t="s">
        <v>54</v>
      </c>
      <c r="Y1156" s="33">
        <v>64.29</v>
      </c>
      <c r="AC1156" s="28">
        <v>64.29</v>
      </c>
      <c r="AD1156" s="34" t="s">
        <v>54</v>
      </c>
      <c r="AE1156" s="33">
        <v>64.29</v>
      </c>
      <c r="AN1156" s="7" t="s">
        <v>54</v>
      </c>
      <c r="AO1156" s="7" t="s">
        <v>55</v>
      </c>
      <c r="AP1156" s="7" t="s">
        <v>56</v>
      </c>
      <c r="AT1156" s="47" t="s">
        <v>57</v>
      </c>
      <c r="AU1156" s="47" t="s">
        <v>57</v>
      </c>
    </row>
    <row r="1157" spans="1:47">
      <c r="A1157" s="4" t="s">
        <v>48</v>
      </c>
      <c r="C1157" s="21"/>
      <c r="D1157" s="22" t="s">
        <v>49</v>
      </c>
      <c r="G1157" s="23">
        <v>45085</v>
      </c>
      <c r="H1157" s="24" t="s">
        <v>3458</v>
      </c>
      <c r="J1157" s="28" t="s">
        <v>51</v>
      </c>
      <c r="L1157" s="24" t="s">
        <v>3459</v>
      </c>
      <c r="M1157" s="1" t="str">
        <f>"220281198506011812"</f>
        <v>220281198506011812</v>
      </c>
      <c r="N1157" s="24" t="s">
        <v>3459</v>
      </c>
      <c r="O1157" s="1" t="str">
        <f>"220281198506011812"</f>
        <v>220281198506011812</v>
      </c>
      <c r="P1157" s="23" t="s">
        <v>3460</v>
      </c>
      <c r="Q1157" s="23">
        <v>45086</v>
      </c>
      <c r="R1157" s="32">
        <v>45452</v>
      </c>
      <c r="V1157" s="33">
        <v>100</v>
      </c>
      <c r="W1157" s="28">
        <v>64.29</v>
      </c>
      <c r="X1157" s="34" t="s">
        <v>54</v>
      </c>
      <c r="Y1157" s="33">
        <v>64.29</v>
      </c>
      <c r="AC1157" s="28">
        <v>64.29</v>
      </c>
      <c r="AD1157" s="34" t="s">
        <v>54</v>
      </c>
      <c r="AE1157" s="33">
        <v>64.29</v>
      </c>
      <c r="AN1157" s="7" t="s">
        <v>54</v>
      </c>
      <c r="AO1157" s="7" t="s">
        <v>55</v>
      </c>
      <c r="AP1157" s="7" t="s">
        <v>56</v>
      </c>
      <c r="AT1157" s="47" t="s">
        <v>57</v>
      </c>
      <c r="AU1157" s="47" t="s">
        <v>57</v>
      </c>
    </row>
    <row r="1158" spans="1:47">
      <c r="A1158" s="4" t="s">
        <v>48</v>
      </c>
      <c r="C1158" s="21"/>
      <c r="D1158" s="22" t="s">
        <v>49</v>
      </c>
      <c r="G1158" s="23">
        <v>45072</v>
      </c>
      <c r="H1158" s="24" t="s">
        <v>3461</v>
      </c>
      <c r="J1158" s="28" t="s">
        <v>51</v>
      </c>
      <c r="L1158" s="24" t="s">
        <v>3462</v>
      </c>
      <c r="M1158" s="1" t="str">
        <f>"130731199312280068"</f>
        <v>130731199312280068</v>
      </c>
      <c r="N1158" s="24" t="s">
        <v>3462</v>
      </c>
      <c r="O1158" s="1" t="str">
        <f>"130731199312280068"</f>
        <v>130731199312280068</v>
      </c>
      <c r="P1158" s="23" t="s">
        <v>3463</v>
      </c>
      <c r="Q1158" s="23">
        <v>45283</v>
      </c>
      <c r="R1158" s="32">
        <v>45649</v>
      </c>
      <c r="V1158" s="33">
        <v>100</v>
      </c>
      <c r="W1158" s="28">
        <v>64.29</v>
      </c>
      <c r="X1158" s="34" t="s">
        <v>54</v>
      </c>
      <c r="Y1158" s="33">
        <v>64.29</v>
      </c>
      <c r="AC1158" s="28">
        <v>64.29</v>
      </c>
      <c r="AD1158" s="34" t="s">
        <v>54</v>
      </c>
      <c r="AE1158" s="33">
        <v>64.29</v>
      </c>
      <c r="AN1158" s="7" t="s">
        <v>54</v>
      </c>
      <c r="AO1158" s="7" t="s">
        <v>55</v>
      </c>
      <c r="AP1158" s="7" t="s">
        <v>56</v>
      </c>
      <c r="AT1158" s="47" t="s">
        <v>57</v>
      </c>
      <c r="AU1158" s="47" t="s">
        <v>57</v>
      </c>
    </row>
    <row r="1159" spans="1:47">
      <c r="A1159" s="4" t="s">
        <v>48</v>
      </c>
      <c r="C1159" s="21"/>
      <c r="D1159" s="22" t="s">
        <v>49</v>
      </c>
      <c r="G1159" s="23">
        <v>45072</v>
      </c>
      <c r="H1159" s="24" t="s">
        <v>3464</v>
      </c>
      <c r="J1159" s="28" t="s">
        <v>51</v>
      </c>
      <c r="L1159" s="24" t="s">
        <v>3465</v>
      </c>
      <c r="M1159" s="1" t="str">
        <f>"131028198711230033"</f>
        <v>131028198711230033</v>
      </c>
      <c r="N1159" s="24" t="s">
        <v>3465</v>
      </c>
      <c r="O1159" s="1" t="str">
        <f>"131028198711230033"</f>
        <v>131028198711230033</v>
      </c>
      <c r="P1159" s="23" t="s">
        <v>3466</v>
      </c>
      <c r="Q1159" s="23">
        <v>45073</v>
      </c>
      <c r="R1159" s="32">
        <v>45439</v>
      </c>
      <c r="V1159" s="33">
        <v>100</v>
      </c>
      <c r="W1159" s="28">
        <v>64.29</v>
      </c>
      <c r="X1159" s="34" t="s">
        <v>54</v>
      </c>
      <c r="Y1159" s="33">
        <v>64.29</v>
      </c>
      <c r="AC1159" s="28">
        <v>64.29</v>
      </c>
      <c r="AD1159" s="34" t="s">
        <v>54</v>
      </c>
      <c r="AE1159" s="33">
        <v>64.29</v>
      </c>
      <c r="AN1159" s="7" t="s">
        <v>54</v>
      </c>
      <c r="AO1159" s="7" t="s">
        <v>55</v>
      </c>
      <c r="AP1159" s="7" t="s">
        <v>56</v>
      </c>
      <c r="AT1159" s="47" t="s">
        <v>57</v>
      </c>
      <c r="AU1159" s="47" t="s">
        <v>57</v>
      </c>
    </row>
    <row r="1160" spans="1:47">
      <c r="A1160" s="4" t="s">
        <v>48</v>
      </c>
      <c r="C1160" s="21"/>
      <c r="D1160" s="22" t="s">
        <v>49</v>
      </c>
      <c r="G1160" s="23">
        <v>45072</v>
      </c>
      <c r="H1160" s="24" t="s">
        <v>3467</v>
      </c>
      <c r="J1160" s="28" t="s">
        <v>51</v>
      </c>
      <c r="L1160" s="24" t="s">
        <v>3468</v>
      </c>
      <c r="M1160" s="1" t="str">
        <f>"132821196505262529"</f>
        <v>132821196505262529</v>
      </c>
      <c r="N1160" s="24" t="s">
        <v>3468</v>
      </c>
      <c r="O1160" s="1" t="str">
        <f>"132821196505262529"</f>
        <v>132821196505262529</v>
      </c>
      <c r="P1160" s="23" t="s">
        <v>3469</v>
      </c>
      <c r="Q1160" s="23">
        <v>45073</v>
      </c>
      <c r="R1160" s="32">
        <v>45439</v>
      </c>
      <c r="V1160" s="33">
        <v>100</v>
      </c>
      <c r="W1160" s="28">
        <v>64.29</v>
      </c>
      <c r="X1160" s="34" t="s">
        <v>54</v>
      </c>
      <c r="Y1160" s="33">
        <v>64.29</v>
      </c>
      <c r="AC1160" s="28">
        <v>64.29</v>
      </c>
      <c r="AD1160" s="34" t="s">
        <v>54</v>
      </c>
      <c r="AE1160" s="33">
        <v>64.29</v>
      </c>
      <c r="AN1160" s="7" t="s">
        <v>54</v>
      </c>
      <c r="AO1160" s="7" t="s">
        <v>55</v>
      </c>
      <c r="AP1160" s="7" t="s">
        <v>56</v>
      </c>
      <c r="AT1160" s="47" t="s">
        <v>57</v>
      </c>
      <c r="AU1160" s="47" t="s">
        <v>57</v>
      </c>
    </row>
    <row r="1161" spans="1:47">
      <c r="A1161" s="4" t="s">
        <v>48</v>
      </c>
      <c r="C1161" s="21"/>
      <c r="D1161" s="22" t="s">
        <v>49</v>
      </c>
      <c r="G1161" s="23">
        <v>45072</v>
      </c>
      <c r="H1161" s="24" t="s">
        <v>3470</v>
      </c>
      <c r="J1161" s="28" t="s">
        <v>51</v>
      </c>
      <c r="L1161" s="24" t="s">
        <v>3471</v>
      </c>
      <c r="M1161" s="1" t="str">
        <f>"41048219831118381X"</f>
        <v>41048219831118381X</v>
      </c>
      <c r="N1161" s="24" t="s">
        <v>3471</v>
      </c>
      <c r="O1161" s="1" t="str">
        <f>"41048219831118381X"</f>
        <v>41048219831118381X</v>
      </c>
      <c r="P1161" s="23" t="s">
        <v>3472</v>
      </c>
      <c r="Q1161" s="23">
        <v>45139</v>
      </c>
      <c r="R1161" s="32">
        <v>45505</v>
      </c>
      <c r="V1161" s="33">
        <v>100</v>
      </c>
      <c r="W1161" s="28">
        <v>64.29</v>
      </c>
      <c r="X1161" s="34" t="s">
        <v>54</v>
      </c>
      <c r="Y1161" s="33">
        <v>64.29</v>
      </c>
      <c r="AC1161" s="28">
        <v>64.29</v>
      </c>
      <c r="AD1161" s="34" t="s">
        <v>54</v>
      </c>
      <c r="AE1161" s="33">
        <v>64.29</v>
      </c>
      <c r="AN1161" s="7" t="s">
        <v>54</v>
      </c>
      <c r="AO1161" s="7" t="s">
        <v>55</v>
      </c>
      <c r="AP1161" s="7" t="s">
        <v>56</v>
      </c>
      <c r="AT1161" s="47" t="s">
        <v>57</v>
      </c>
      <c r="AU1161" s="47" t="s">
        <v>57</v>
      </c>
    </row>
    <row r="1162" spans="1:47">
      <c r="A1162" s="4" t="s">
        <v>48</v>
      </c>
      <c r="C1162" s="21"/>
      <c r="D1162" s="22" t="s">
        <v>49</v>
      </c>
      <c r="G1162" s="23">
        <v>45086</v>
      </c>
      <c r="H1162" s="24" t="s">
        <v>3473</v>
      </c>
      <c r="J1162" s="28" t="s">
        <v>51</v>
      </c>
      <c r="L1162" s="24" t="s">
        <v>3474</v>
      </c>
      <c r="M1162" s="1" t="str">
        <f>"341221199304038108"</f>
        <v>341221199304038108</v>
      </c>
      <c r="N1162" s="24" t="s">
        <v>3474</v>
      </c>
      <c r="O1162" s="1" t="str">
        <f>"341221199304038108"</f>
        <v>341221199304038108</v>
      </c>
      <c r="P1162" s="23" t="s">
        <v>3475</v>
      </c>
      <c r="Q1162" s="23">
        <v>45087</v>
      </c>
      <c r="R1162" s="32">
        <v>45453</v>
      </c>
      <c r="V1162" s="33">
        <v>50</v>
      </c>
      <c r="W1162" s="28">
        <v>64.29</v>
      </c>
      <c r="X1162" s="34" t="s">
        <v>54</v>
      </c>
      <c r="Y1162" s="33">
        <v>32.15</v>
      </c>
      <c r="AC1162" s="28">
        <v>64.29</v>
      </c>
      <c r="AD1162" s="34" t="s">
        <v>54</v>
      </c>
      <c r="AE1162" s="33">
        <v>32.15</v>
      </c>
      <c r="AN1162" s="7" t="s">
        <v>54</v>
      </c>
      <c r="AO1162" s="7" t="s">
        <v>55</v>
      </c>
      <c r="AP1162" s="7" t="s">
        <v>56</v>
      </c>
      <c r="AT1162" s="47" t="s">
        <v>57</v>
      </c>
      <c r="AU1162" s="47" t="s">
        <v>57</v>
      </c>
    </row>
    <row r="1163" spans="1:47">
      <c r="A1163" s="4" t="s">
        <v>48</v>
      </c>
      <c r="C1163" s="21"/>
      <c r="D1163" s="22" t="s">
        <v>49</v>
      </c>
      <c r="G1163" s="23">
        <v>45087</v>
      </c>
      <c r="H1163" s="24" t="s">
        <v>3476</v>
      </c>
      <c r="J1163" s="28" t="s">
        <v>51</v>
      </c>
      <c r="L1163" s="24" t="s">
        <v>3477</v>
      </c>
      <c r="M1163" s="1" t="str">
        <f>"341221199002282017"</f>
        <v>341221199002282017</v>
      </c>
      <c r="N1163" s="24" t="s">
        <v>3477</v>
      </c>
      <c r="O1163" s="1" t="str">
        <f>"341221199002282017"</f>
        <v>341221199002282017</v>
      </c>
      <c r="P1163" s="23" t="s">
        <v>3478</v>
      </c>
      <c r="Q1163" s="23">
        <v>45088</v>
      </c>
      <c r="R1163" s="32">
        <v>45454</v>
      </c>
      <c r="V1163" s="33">
        <v>50</v>
      </c>
      <c r="W1163" s="28">
        <v>64.29</v>
      </c>
      <c r="X1163" s="34" t="s">
        <v>54</v>
      </c>
      <c r="Y1163" s="33">
        <v>32.15</v>
      </c>
      <c r="AC1163" s="28">
        <v>64.29</v>
      </c>
      <c r="AD1163" s="34" t="s">
        <v>54</v>
      </c>
      <c r="AE1163" s="33">
        <v>32.15</v>
      </c>
      <c r="AN1163" s="7" t="s">
        <v>54</v>
      </c>
      <c r="AO1163" s="7" t="s">
        <v>55</v>
      </c>
      <c r="AP1163" s="7" t="s">
        <v>56</v>
      </c>
      <c r="AT1163" s="47" t="s">
        <v>57</v>
      </c>
      <c r="AU1163" s="47" t="s">
        <v>57</v>
      </c>
    </row>
    <row r="1164" spans="1:47">
      <c r="A1164" s="4" t="s">
        <v>48</v>
      </c>
      <c r="C1164" s="21"/>
      <c r="D1164" s="22" t="s">
        <v>49</v>
      </c>
      <c r="G1164" s="23">
        <v>45085</v>
      </c>
      <c r="H1164" s="24" t="s">
        <v>3479</v>
      </c>
      <c r="J1164" s="28" t="s">
        <v>51</v>
      </c>
      <c r="L1164" s="24" t="s">
        <v>3480</v>
      </c>
      <c r="M1164" s="1" t="str">
        <f>"342101198007108224"</f>
        <v>342101198007108224</v>
      </c>
      <c r="N1164" s="24" t="s">
        <v>3480</v>
      </c>
      <c r="O1164" s="1" t="str">
        <f>"342101198007108224"</f>
        <v>342101198007108224</v>
      </c>
      <c r="P1164" s="23" t="s">
        <v>3481</v>
      </c>
      <c r="Q1164" s="23">
        <v>45086</v>
      </c>
      <c r="R1164" s="32">
        <v>45452</v>
      </c>
      <c r="V1164" s="33">
        <v>50</v>
      </c>
      <c r="W1164" s="28">
        <v>64.29</v>
      </c>
      <c r="X1164" s="34" t="s">
        <v>54</v>
      </c>
      <c r="Y1164" s="33">
        <v>32.15</v>
      </c>
      <c r="AC1164" s="28">
        <v>64.29</v>
      </c>
      <c r="AD1164" s="34" t="s">
        <v>54</v>
      </c>
      <c r="AE1164" s="33">
        <v>32.15</v>
      </c>
      <c r="AN1164" s="7" t="s">
        <v>54</v>
      </c>
      <c r="AO1164" s="7" t="s">
        <v>55</v>
      </c>
      <c r="AP1164" s="7" t="s">
        <v>56</v>
      </c>
      <c r="AT1164" s="47" t="s">
        <v>57</v>
      </c>
      <c r="AU1164" s="47" t="s">
        <v>57</v>
      </c>
    </row>
    <row r="1165" spans="1:47">
      <c r="A1165" s="4" t="s">
        <v>48</v>
      </c>
      <c r="C1165" s="21"/>
      <c r="D1165" s="22" t="s">
        <v>49</v>
      </c>
      <c r="G1165" s="23">
        <v>45083</v>
      </c>
      <c r="H1165" s="24" t="s">
        <v>3482</v>
      </c>
      <c r="J1165" s="28" t="s">
        <v>51</v>
      </c>
      <c r="L1165" s="24" t="s">
        <v>3483</v>
      </c>
      <c r="M1165" s="1" t="str">
        <f>"13282119491110827X"</f>
        <v>13282119491110827X</v>
      </c>
      <c r="N1165" s="24" t="s">
        <v>3483</v>
      </c>
      <c r="O1165" s="1" t="str">
        <f>"13282119491110827X"</f>
        <v>13282119491110827X</v>
      </c>
      <c r="P1165" s="23" t="s">
        <v>3484</v>
      </c>
      <c r="Q1165" s="23">
        <v>45084</v>
      </c>
      <c r="R1165" s="32">
        <v>45450</v>
      </c>
      <c r="V1165" s="33">
        <v>50</v>
      </c>
      <c r="W1165" s="28">
        <v>64.29</v>
      </c>
      <c r="X1165" s="34" t="s">
        <v>54</v>
      </c>
      <c r="Y1165" s="33">
        <v>32.15</v>
      </c>
      <c r="AC1165" s="28">
        <v>64.29</v>
      </c>
      <c r="AD1165" s="34" t="s">
        <v>54</v>
      </c>
      <c r="AE1165" s="33">
        <v>32.15</v>
      </c>
      <c r="AN1165" s="7" t="s">
        <v>54</v>
      </c>
      <c r="AO1165" s="7" t="s">
        <v>55</v>
      </c>
      <c r="AP1165" s="7" t="s">
        <v>56</v>
      </c>
      <c r="AT1165" s="47" t="s">
        <v>57</v>
      </c>
      <c r="AU1165" s="47" t="s">
        <v>57</v>
      </c>
    </row>
    <row r="1166" spans="1:47">
      <c r="A1166" s="4" t="s">
        <v>48</v>
      </c>
      <c r="C1166" s="21"/>
      <c r="D1166" s="22" t="s">
        <v>49</v>
      </c>
      <c r="G1166" s="23">
        <v>45096</v>
      </c>
      <c r="H1166" s="24" t="s">
        <v>3485</v>
      </c>
      <c r="J1166" s="28" t="s">
        <v>51</v>
      </c>
      <c r="L1166" s="24" t="s">
        <v>3486</v>
      </c>
      <c r="M1166" s="1" t="str">
        <f>"342122196610182835"</f>
        <v>342122196610182835</v>
      </c>
      <c r="N1166" s="24" t="s">
        <v>3486</v>
      </c>
      <c r="O1166" s="1" t="str">
        <f>"342122196610182835"</f>
        <v>342122196610182835</v>
      </c>
      <c r="P1166" s="23" t="s">
        <v>3487</v>
      </c>
      <c r="Q1166" s="23">
        <v>45158</v>
      </c>
      <c r="R1166" s="32">
        <v>45524</v>
      </c>
      <c r="V1166" s="33">
        <v>100</v>
      </c>
      <c r="W1166" s="28">
        <v>64.29</v>
      </c>
      <c r="X1166" s="34" t="s">
        <v>54</v>
      </c>
      <c r="Y1166" s="33">
        <v>64.29</v>
      </c>
      <c r="AC1166" s="28">
        <v>64.29</v>
      </c>
      <c r="AD1166" s="34" t="s">
        <v>54</v>
      </c>
      <c r="AE1166" s="33">
        <v>64.29</v>
      </c>
      <c r="AN1166" s="7" t="s">
        <v>54</v>
      </c>
      <c r="AO1166" s="7" t="s">
        <v>55</v>
      </c>
      <c r="AP1166" s="7" t="s">
        <v>56</v>
      </c>
      <c r="AT1166" s="47" t="s">
        <v>57</v>
      </c>
      <c r="AU1166" s="47" t="s">
        <v>57</v>
      </c>
    </row>
    <row r="1167" spans="1:47">
      <c r="A1167" s="4" t="s">
        <v>48</v>
      </c>
      <c r="C1167" s="21"/>
      <c r="D1167" s="22" t="s">
        <v>49</v>
      </c>
      <c r="G1167" s="23">
        <v>45097</v>
      </c>
      <c r="H1167" s="24" t="s">
        <v>3488</v>
      </c>
      <c r="J1167" s="28" t="s">
        <v>51</v>
      </c>
      <c r="L1167" s="24" t="s">
        <v>3489</v>
      </c>
      <c r="M1167" s="1" t="str">
        <f>"130221198808150107"</f>
        <v>130221198808150107</v>
      </c>
      <c r="N1167" s="24" t="s">
        <v>3489</v>
      </c>
      <c r="O1167" s="1" t="str">
        <f>"130221198808150107"</f>
        <v>130221198808150107</v>
      </c>
      <c r="P1167" s="23" t="s">
        <v>3490</v>
      </c>
      <c r="Q1167" s="23">
        <v>45098</v>
      </c>
      <c r="R1167" s="32">
        <v>45464</v>
      </c>
      <c r="V1167" s="33">
        <v>100</v>
      </c>
      <c r="W1167" s="28">
        <v>64.29</v>
      </c>
      <c r="X1167" s="34" t="s">
        <v>54</v>
      </c>
      <c r="Y1167" s="33">
        <v>64.29</v>
      </c>
      <c r="AC1167" s="28">
        <v>64.29</v>
      </c>
      <c r="AD1167" s="34" t="s">
        <v>54</v>
      </c>
      <c r="AE1167" s="33">
        <v>64.29</v>
      </c>
      <c r="AN1167" s="7" t="s">
        <v>54</v>
      </c>
      <c r="AO1167" s="7" t="s">
        <v>55</v>
      </c>
      <c r="AP1167" s="7" t="s">
        <v>56</v>
      </c>
      <c r="AT1167" s="47" t="s">
        <v>57</v>
      </c>
      <c r="AU1167" s="47" t="s">
        <v>57</v>
      </c>
    </row>
    <row r="1168" spans="1:47">
      <c r="A1168" s="4" t="s">
        <v>48</v>
      </c>
      <c r="C1168" s="21"/>
      <c r="D1168" s="22" t="s">
        <v>49</v>
      </c>
      <c r="G1168" s="23">
        <v>45096</v>
      </c>
      <c r="H1168" s="24" t="s">
        <v>3491</v>
      </c>
      <c r="J1168" s="28" t="s">
        <v>51</v>
      </c>
      <c r="L1168" s="24" t="s">
        <v>3492</v>
      </c>
      <c r="M1168" s="1" t="str">
        <f>"341202197005162522"</f>
        <v>341202197005162522</v>
      </c>
      <c r="N1168" s="24" t="s">
        <v>3492</v>
      </c>
      <c r="O1168" s="1" t="str">
        <f>"341202197005162522"</f>
        <v>341202197005162522</v>
      </c>
      <c r="P1168" s="23" t="s">
        <v>3493</v>
      </c>
      <c r="Q1168" s="23">
        <v>45232</v>
      </c>
      <c r="R1168" s="32">
        <v>45598</v>
      </c>
      <c r="V1168" s="33">
        <v>100</v>
      </c>
      <c r="W1168" s="28">
        <v>64.29</v>
      </c>
      <c r="X1168" s="34" t="s">
        <v>54</v>
      </c>
      <c r="Y1168" s="33">
        <v>64.29</v>
      </c>
      <c r="AC1168" s="28">
        <v>64.29</v>
      </c>
      <c r="AD1168" s="34" t="s">
        <v>54</v>
      </c>
      <c r="AE1168" s="33">
        <v>64.29</v>
      </c>
      <c r="AN1168" s="7" t="s">
        <v>54</v>
      </c>
      <c r="AO1168" s="7" t="s">
        <v>55</v>
      </c>
      <c r="AP1168" s="7" t="s">
        <v>56</v>
      </c>
      <c r="AT1168" s="47" t="s">
        <v>57</v>
      </c>
      <c r="AU1168" s="47" t="s">
        <v>57</v>
      </c>
    </row>
    <row r="1169" spans="1:47">
      <c r="A1169" s="4" t="s">
        <v>48</v>
      </c>
      <c r="C1169" s="21"/>
      <c r="D1169" s="22" t="s">
        <v>49</v>
      </c>
      <c r="G1169" s="23">
        <v>45096</v>
      </c>
      <c r="H1169" s="24" t="s">
        <v>3494</v>
      </c>
      <c r="J1169" s="28" t="s">
        <v>51</v>
      </c>
      <c r="L1169" s="24" t="s">
        <v>3495</v>
      </c>
      <c r="M1169" s="1" t="str">
        <f>"131082198912162514"</f>
        <v>131082198912162514</v>
      </c>
      <c r="N1169" s="24" t="s">
        <v>3495</v>
      </c>
      <c r="O1169" s="1" t="str">
        <f>"131082198912162514"</f>
        <v>131082198912162514</v>
      </c>
      <c r="P1169" s="23" t="s">
        <v>3496</v>
      </c>
      <c r="Q1169" s="23">
        <v>45158</v>
      </c>
      <c r="R1169" s="32">
        <v>45524</v>
      </c>
      <c r="V1169" s="33">
        <v>100</v>
      </c>
      <c r="W1169" s="28">
        <v>64.29</v>
      </c>
      <c r="X1169" s="34" t="s">
        <v>54</v>
      </c>
      <c r="Y1169" s="33">
        <v>64.29</v>
      </c>
      <c r="AC1169" s="28">
        <v>64.29</v>
      </c>
      <c r="AD1169" s="34" t="s">
        <v>54</v>
      </c>
      <c r="AE1169" s="33">
        <v>64.29</v>
      </c>
      <c r="AN1169" s="7" t="s">
        <v>54</v>
      </c>
      <c r="AO1169" s="7" t="s">
        <v>55</v>
      </c>
      <c r="AP1169" s="7" t="s">
        <v>56</v>
      </c>
      <c r="AT1169" s="47" t="s">
        <v>57</v>
      </c>
      <c r="AU1169" s="47" t="s">
        <v>57</v>
      </c>
    </row>
    <row r="1170" spans="1:47">
      <c r="A1170" s="4" t="s">
        <v>48</v>
      </c>
      <c r="C1170" s="21"/>
      <c r="D1170" s="22" t="s">
        <v>49</v>
      </c>
      <c r="G1170" s="23">
        <v>45096</v>
      </c>
      <c r="H1170" s="24" t="s">
        <v>3497</v>
      </c>
      <c r="J1170" s="28" t="s">
        <v>51</v>
      </c>
      <c r="L1170" s="24" t="s">
        <v>3498</v>
      </c>
      <c r="M1170" s="1" t="str">
        <f>"132821197110011017"</f>
        <v>132821197110011017</v>
      </c>
      <c r="N1170" s="24" t="s">
        <v>3498</v>
      </c>
      <c r="O1170" s="1" t="str">
        <f>"132821197110011017"</f>
        <v>132821197110011017</v>
      </c>
      <c r="P1170" s="23" t="s">
        <v>3499</v>
      </c>
      <c r="Q1170" s="23">
        <v>45219</v>
      </c>
      <c r="R1170" s="32">
        <v>45585</v>
      </c>
      <c r="V1170" s="33">
        <v>100</v>
      </c>
      <c r="W1170" s="28">
        <v>64.29</v>
      </c>
      <c r="X1170" s="34" t="s">
        <v>54</v>
      </c>
      <c r="Y1170" s="33">
        <v>64.29</v>
      </c>
      <c r="AC1170" s="28">
        <v>64.29</v>
      </c>
      <c r="AD1170" s="34" t="s">
        <v>54</v>
      </c>
      <c r="AE1170" s="33">
        <v>64.29</v>
      </c>
      <c r="AN1170" s="7" t="s">
        <v>54</v>
      </c>
      <c r="AO1170" s="7" t="s">
        <v>55</v>
      </c>
      <c r="AP1170" s="7" t="s">
        <v>56</v>
      </c>
      <c r="AT1170" s="47" t="s">
        <v>57</v>
      </c>
      <c r="AU1170" s="47" t="s">
        <v>57</v>
      </c>
    </row>
    <row r="1171" spans="1:47">
      <c r="A1171" s="4" t="s">
        <v>48</v>
      </c>
      <c r="C1171" s="21"/>
      <c r="D1171" s="22" t="s">
        <v>49</v>
      </c>
      <c r="G1171" s="23">
        <v>45085</v>
      </c>
      <c r="H1171" s="24" t="s">
        <v>3500</v>
      </c>
      <c r="J1171" s="28" t="s">
        <v>51</v>
      </c>
      <c r="L1171" s="24" t="s">
        <v>3501</v>
      </c>
      <c r="M1171" s="1" t="str">
        <f>"140107198903214518"</f>
        <v>140107198903214518</v>
      </c>
      <c r="N1171" s="24" t="s">
        <v>3501</v>
      </c>
      <c r="O1171" s="1" t="str">
        <f>"140107198903214518"</f>
        <v>140107198903214518</v>
      </c>
      <c r="P1171" s="23" t="s">
        <v>3502</v>
      </c>
      <c r="Q1171" s="23">
        <v>45086</v>
      </c>
      <c r="R1171" s="32">
        <v>45452</v>
      </c>
      <c r="V1171" s="33">
        <v>100</v>
      </c>
      <c r="W1171" s="28">
        <v>64.29</v>
      </c>
      <c r="X1171" s="34" t="s">
        <v>54</v>
      </c>
      <c r="Y1171" s="33">
        <v>64.29</v>
      </c>
      <c r="AC1171" s="28">
        <v>64.29</v>
      </c>
      <c r="AD1171" s="34" t="s">
        <v>54</v>
      </c>
      <c r="AE1171" s="33">
        <v>64.29</v>
      </c>
      <c r="AN1171" s="7" t="s">
        <v>54</v>
      </c>
      <c r="AO1171" s="7" t="s">
        <v>55</v>
      </c>
      <c r="AP1171" s="7" t="s">
        <v>56</v>
      </c>
      <c r="AT1171" s="47" t="s">
        <v>57</v>
      </c>
      <c r="AU1171" s="47" t="s">
        <v>57</v>
      </c>
    </row>
    <row r="1172" spans="1:47">
      <c r="A1172" s="4" t="s">
        <v>48</v>
      </c>
      <c r="C1172" s="21"/>
      <c r="D1172" s="22" t="s">
        <v>49</v>
      </c>
      <c r="G1172" s="23">
        <v>45086</v>
      </c>
      <c r="H1172" s="24" t="s">
        <v>3503</v>
      </c>
      <c r="J1172" s="28" t="s">
        <v>51</v>
      </c>
      <c r="L1172" s="24" t="s">
        <v>3504</v>
      </c>
      <c r="M1172" s="1" t="str">
        <f>"341202197508043314"</f>
        <v>341202197508043314</v>
      </c>
      <c r="N1172" s="24" t="s">
        <v>3504</v>
      </c>
      <c r="O1172" s="1" t="str">
        <f>"341202197508043314"</f>
        <v>341202197508043314</v>
      </c>
      <c r="P1172" s="23" t="s">
        <v>3505</v>
      </c>
      <c r="Q1172" s="23">
        <v>45087</v>
      </c>
      <c r="R1172" s="32">
        <v>45453</v>
      </c>
      <c r="V1172" s="33">
        <v>100</v>
      </c>
      <c r="W1172" s="28">
        <v>64.29</v>
      </c>
      <c r="X1172" s="34" t="s">
        <v>54</v>
      </c>
      <c r="Y1172" s="33">
        <v>64.29</v>
      </c>
      <c r="AC1172" s="28">
        <v>64.29</v>
      </c>
      <c r="AD1172" s="34" t="s">
        <v>54</v>
      </c>
      <c r="AE1172" s="33">
        <v>64.29</v>
      </c>
      <c r="AN1172" s="7" t="s">
        <v>54</v>
      </c>
      <c r="AO1172" s="7" t="s">
        <v>55</v>
      </c>
      <c r="AP1172" s="7" t="s">
        <v>56</v>
      </c>
      <c r="AT1172" s="47" t="s">
        <v>57</v>
      </c>
      <c r="AU1172" s="47" t="s">
        <v>57</v>
      </c>
    </row>
    <row r="1173" spans="1:47">
      <c r="A1173" s="4" t="s">
        <v>48</v>
      </c>
      <c r="C1173" s="21"/>
      <c r="D1173" s="22" t="s">
        <v>49</v>
      </c>
      <c r="G1173" s="23">
        <v>45085</v>
      </c>
      <c r="H1173" s="24" t="s">
        <v>3506</v>
      </c>
      <c r="J1173" s="28" t="s">
        <v>51</v>
      </c>
      <c r="L1173" s="24" t="s">
        <v>3507</v>
      </c>
      <c r="M1173" s="1" t="str">
        <f>"131082198603162510"</f>
        <v>131082198603162510</v>
      </c>
      <c r="N1173" s="24" t="s">
        <v>3507</v>
      </c>
      <c r="O1173" s="1" t="str">
        <f>"131082198603162510"</f>
        <v>131082198603162510</v>
      </c>
      <c r="P1173" s="23" t="s">
        <v>3508</v>
      </c>
      <c r="Q1173" s="23">
        <v>45086</v>
      </c>
      <c r="R1173" s="32">
        <v>45452</v>
      </c>
      <c r="V1173" s="33">
        <v>100</v>
      </c>
      <c r="W1173" s="28">
        <v>64.29</v>
      </c>
      <c r="X1173" s="34" t="s">
        <v>54</v>
      </c>
      <c r="Y1173" s="33">
        <v>64.29</v>
      </c>
      <c r="AC1173" s="28">
        <v>64.29</v>
      </c>
      <c r="AD1173" s="34" t="s">
        <v>54</v>
      </c>
      <c r="AE1173" s="33">
        <v>64.29</v>
      </c>
      <c r="AN1173" s="7" t="s">
        <v>54</v>
      </c>
      <c r="AO1173" s="7" t="s">
        <v>55</v>
      </c>
      <c r="AP1173" s="7" t="s">
        <v>56</v>
      </c>
      <c r="AT1173" s="47" t="s">
        <v>57</v>
      </c>
      <c r="AU1173" s="47" t="s">
        <v>57</v>
      </c>
    </row>
    <row r="1174" spans="1:47">
      <c r="A1174" s="4" t="s">
        <v>48</v>
      </c>
      <c r="C1174" s="21"/>
      <c r="D1174" s="22" t="s">
        <v>49</v>
      </c>
      <c r="G1174" s="23">
        <v>45086</v>
      </c>
      <c r="H1174" s="24" t="s">
        <v>3509</v>
      </c>
      <c r="J1174" s="28" t="s">
        <v>51</v>
      </c>
      <c r="L1174" s="24" t="s">
        <v>3510</v>
      </c>
      <c r="M1174" s="1" t="str">
        <f>"511526198611081937"</f>
        <v>511526198611081937</v>
      </c>
      <c r="N1174" s="24" t="s">
        <v>3510</v>
      </c>
      <c r="O1174" s="1" t="str">
        <f>"511526198611081937"</f>
        <v>511526198611081937</v>
      </c>
      <c r="P1174" s="23" t="s">
        <v>3511</v>
      </c>
      <c r="Q1174" s="23">
        <v>45087</v>
      </c>
      <c r="R1174" s="32">
        <v>45453</v>
      </c>
      <c r="V1174" s="33">
        <v>100</v>
      </c>
      <c r="W1174" s="28">
        <v>64.29</v>
      </c>
      <c r="X1174" s="34" t="s">
        <v>54</v>
      </c>
      <c r="Y1174" s="33">
        <v>64.29</v>
      </c>
      <c r="AC1174" s="28">
        <v>64.29</v>
      </c>
      <c r="AD1174" s="34" t="s">
        <v>54</v>
      </c>
      <c r="AE1174" s="33">
        <v>64.29</v>
      </c>
      <c r="AN1174" s="7" t="s">
        <v>54</v>
      </c>
      <c r="AO1174" s="7" t="s">
        <v>55</v>
      </c>
      <c r="AP1174" s="7" t="s">
        <v>56</v>
      </c>
      <c r="AT1174" s="47" t="s">
        <v>57</v>
      </c>
      <c r="AU1174" s="47" t="s">
        <v>57</v>
      </c>
    </row>
    <row r="1175" spans="1:47">
      <c r="A1175" s="4" t="s">
        <v>48</v>
      </c>
      <c r="C1175" s="21"/>
      <c r="D1175" s="22" t="s">
        <v>49</v>
      </c>
      <c r="G1175" s="23">
        <v>45101</v>
      </c>
      <c r="H1175" s="24" t="s">
        <v>3512</v>
      </c>
      <c r="J1175" s="28" t="s">
        <v>51</v>
      </c>
      <c r="L1175" s="24" t="s">
        <v>3513</v>
      </c>
      <c r="M1175" s="1" t="str">
        <f>"131082198609192550"</f>
        <v>131082198609192550</v>
      </c>
      <c r="N1175" s="24" t="s">
        <v>3513</v>
      </c>
      <c r="O1175" s="1" t="str">
        <f>"131082198609192550"</f>
        <v>131082198609192550</v>
      </c>
      <c r="P1175" s="23" t="s">
        <v>3514</v>
      </c>
      <c r="Q1175" s="23">
        <v>45102</v>
      </c>
      <c r="R1175" s="32">
        <v>45468</v>
      </c>
      <c r="V1175" s="33">
        <v>200</v>
      </c>
      <c r="W1175" s="28">
        <v>64.29</v>
      </c>
      <c r="X1175" s="34" t="s">
        <v>54</v>
      </c>
      <c r="Y1175" s="33">
        <v>128.58</v>
      </c>
      <c r="AC1175" s="28">
        <v>64.29</v>
      </c>
      <c r="AD1175" s="34" t="s">
        <v>54</v>
      </c>
      <c r="AE1175" s="33">
        <v>128.58</v>
      </c>
      <c r="AN1175" s="7" t="s">
        <v>54</v>
      </c>
      <c r="AO1175" s="7" t="s">
        <v>55</v>
      </c>
      <c r="AP1175" s="7" t="s">
        <v>56</v>
      </c>
      <c r="AT1175" s="47" t="s">
        <v>57</v>
      </c>
      <c r="AU1175" s="47" t="s">
        <v>57</v>
      </c>
    </row>
    <row r="1176" spans="1:47">
      <c r="A1176" s="4" t="s">
        <v>48</v>
      </c>
      <c r="C1176" s="21"/>
      <c r="D1176" s="22" t="s">
        <v>49</v>
      </c>
      <c r="G1176" s="23">
        <v>45102</v>
      </c>
      <c r="H1176" s="24" t="s">
        <v>3515</v>
      </c>
      <c r="J1176" s="28" t="s">
        <v>51</v>
      </c>
      <c r="L1176" s="24" t="s">
        <v>3516</v>
      </c>
      <c r="M1176" s="1" t="str">
        <f>"34120319820106228X"</f>
        <v>34120319820106228X</v>
      </c>
      <c r="N1176" s="24" t="s">
        <v>3516</v>
      </c>
      <c r="O1176" s="1" t="str">
        <f>"34120319820106228X"</f>
        <v>34120319820106228X</v>
      </c>
      <c r="P1176" s="23" t="s">
        <v>3517</v>
      </c>
      <c r="Q1176" s="23">
        <v>45117</v>
      </c>
      <c r="R1176" s="32">
        <v>45483</v>
      </c>
      <c r="V1176" s="33">
        <v>200</v>
      </c>
      <c r="W1176" s="28">
        <v>64.29</v>
      </c>
      <c r="X1176" s="34" t="s">
        <v>54</v>
      </c>
      <c r="Y1176" s="33">
        <v>128.58</v>
      </c>
      <c r="AC1176" s="28">
        <v>64.29</v>
      </c>
      <c r="AD1176" s="34" t="s">
        <v>54</v>
      </c>
      <c r="AE1176" s="33">
        <v>128.58</v>
      </c>
      <c r="AN1176" s="7" t="s">
        <v>54</v>
      </c>
      <c r="AO1176" s="7" t="s">
        <v>55</v>
      </c>
      <c r="AP1176" s="7" t="s">
        <v>56</v>
      </c>
      <c r="AT1176" s="47" t="s">
        <v>57</v>
      </c>
      <c r="AU1176" s="47" t="s">
        <v>57</v>
      </c>
    </row>
    <row r="1177" spans="1:47">
      <c r="A1177" s="4" t="s">
        <v>48</v>
      </c>
      <c r="C1177" s="21"/>
      <c r="D1177" s="22" t="s">
        <v>49</v>
      </c>
      <c r="G1177" s="23">
        <v>45098</v>
      </c>
      <c r="H1177" s="24" t="s">
        <v>3518</v>
      </c>
      <c r="J1177" s="28" t="s">
        <v>51</v>
      </c>
      <c r="L1177" s="24" t="s">
        <v>3519</v>
      </c>
      <c r="M1177" s="1" t="str">
        <f>"132821196210052524"</f>
        <v>132821196210052524</v>
      </c>
      <c r="N1177" s="24" t="s">
        <v>3519</v>
      </c>
      <c r="O1177" s="1" t="str">
        <f>"132821196210052524"</f>
        <v>132821196210052524</v>
      </c>
      <c r="P1177" s="23" t="s">
        <v>3520</v>
      </c>
      <c r="Q1177" s="23">
        <v>45099</v>
      </c>
      <c r="R1177" s="32">
        <v>45465</v>
      </c>
      <c r="V1177" s="33">
        <v>200</v>
      </c>
      <c r="W1177" s="28">
        <v>64.29</v>
      </c>
      <c r="X1177" s="34" t="s">
        <v>54</v>
      </c>
      <c r="Y1177" s="33">
        <v>128.58</v>
      </c>
      <c r="AC1177" s="28">
        <v>64.29</v>
      </c>
      <c r="AD1177" s="34" t="s">
        <v>54</v>
      </c>
      <c r="AE1177" s="33">
        <v>128.58</v>
      </c>
      <c r="AN1177" s="7" t="s">
        <v>54</v>
      </c>
      <c r="AO1177" s="7" t="s">
        <v>55</v>
      </c>
      <c r="AP1177" s="7" t="s">
        <v>56</v>
      </c>
      <c r="AT1177" s="47" t="s">
        <v>57</v>
      </c>
      <c r="AU1177" s="47" t="s">
        <v>57</v>
      </c>
    </row>
    <row r="1178" spans="1:47">
      <c r="A1178" s="4" t="s">
        <v>48</v>
      </c>
      <c r="C1178" s="21"/>
      <c r="D1178" s="22" t="s">
        <v>49</v>
      </c>
      <c r="G1178" s="23">
        <v>45083</v>
      </c>
      <c r="H1178" s="24" t="s">
        <v>3521</v>
      </c>
      <c r="J1178" s="28" t="s">
        <v>51</v>
      </c>
      <c r="L1178" s="24" t="s">
        <v>3522</v>
      </c>
      <c r="M1178" s="1" t="str">
        <f>"341221199104231341"</f>
        <v>341221199104231341</v>
      </c>
      <c r="N1178" s="24" t="s">
        <v>3522</v>
      </c>
      <c r="O1178" s="1" t="str">
        <f>"341221199104231341"</f>
        <v>341221199104231341</v>
      </c>
      <c r="P1178" s="23" t="s">
        <v>3523</v>
      </c>
      <c r="Q1178" s="23">
        <v>45084</v>
      </c>
      <c r="R1178" s="32">
        <v>45450</v>
      </c>
      <c r="V1178" s="33">
        <v>50</v>
      </c>
      <c r="W1178" s="28">
        <v>64.29</v>
      </c>
      <c r="X1178" s="34" t="s">
        <v>54</v>
      </c>
      <c r="Y1178" s="33">
        <v>32.15</v>
      </c>
      <c r="AC1178" s="28">
        <v>64.29</v>
      </c>
      <c r="AD1178" s="34" t="s">
        <v>54</v>
      </c>
      <c r="AE1178" s="33">
        <v>32.15</v>
      </c>
      <c r="AN1178" s="7" t="s">
        <v>54</v>
      </c>
      <c r="AO1178" s="7" t="s">
        <v>55</v>
      </c>
      <c r="AP1178" s="7" t="s">
        <v>56</v>
      </c>
      <c r="AT1178" s="47" t="s">
        <v>57</v>
      </c>
      <c r="AU1178" s="47" t="s">
        <v>57</v>
      </c>
    </row>
    <row r="1179" spans="1:47">
      <c r="A1179" s="4" t="s">
        <v>48</v>
      </c>
      <c r="C1179" s="21"/>
      <c r="D1179" s="22" t="s">
        <v>49</v>
      </c>
      <c r="G1179" s="23">
        <v>45084</v>
      </c>
      <c r="H1179" s="24" t="s">
        <v>3524</v>
      </c>
      <c r="J1179" s="28" t="s">
        <v>51</v>
      </c>
      <c r="L1179" s="24" t="s">
        <v>3525</v>
      </c>
      <c r="M1179" s="1" t="str">
        <f>"210723195205280021"</f>
        <v>210723195205280021</v>
      </c>
      <c r="N1179" s="24" t="s">
        <v>3525</v>
      </c>
      <c r="O1179" s="1" t="str">
        <f>"210723195205280021"</f>
        <v>210723195205280021</v>
      </c>
      <c r="P1179" s="23" t="s">
        <v>3526</v>
      </c>
      <c r="Q1179" s="23">
        <v>45085</v>
      </c>
      <c r="R1179" s="32">
        <v>45451</v>
      </c>
      <c r="V1179" s="33">
        <v>50</v>
      </c>
      <c r="W1179" s="28">
        <v>64.29</v>
      </c>
      <c r="X1179" s="34" t="s">
        <v>54</v>
      </c>
      <c r="Y1179" s="33">
        <v>32.15</v>
      </c>
      <c r="AC1179" s="28">
        <v>64.29</v>
      </c>
      <c r="AD1179" s="34" t="s">
        <v>54</v>
      </c>
      <c r="AE1179" s="33">
        <v>32.15</v>
      </c>
      <c r="AN1179" s="7" t="s">
        <v>54</v>
      </c>
      <c r="AO1179" s="7" t="s">
        <v>55</v>
      </c>
      <c r="AP1179" s="7" t="s">
        <v>56</v>
      </c>
      <c r="AT1179" s="47" t="s">
        <v>57</v>
      </c>
      <c r="AU1179" s="47" t="s">
        <v>57</v>
      </c>
    </row>
    <row r="1180" spans="1:47">
      <c r="A1180" s="4" t="s">
        <v>48</v>
      </c>
      <c r="C1180" s="21"/>
      <c r="D1180" s="22" t="s">
        <v>49</v>
      </c>
      <c r="G1180" s="23">
        <v>45098</v>
      </c>
      <c r="H1180" s="24" t="s">
        <v>3527</v>
      </c>
      <c r="J1180" s="28" t="s">
        <v>51</v>
      </c>
      <c r="L1180" s="24" t="s">
        <v>3528</v>
      </c>
      <c r="M1180" s="1" t="str">
        <f>"130102195505111815"</f>
        <v>130102195505111815</v>
      </c>
      <c r="N1180" s="24" t="s">
        <v>3528</v>
      </c>
      <c r="O1180" s="1" t="str">
        <f>"130102195505111815"</f>
        <v>130102195505111815</v>
      </c>
      <c r="P1180" s="23" t="s">
        <v>3529</v>
      </c>
      <c r="Q1180" s="23">
        <v>45099</v>
      </c>
      <c r="R1180" s="32">
        <v>45465</v>
      </c>
      <c r="V1180" s="33">
        <v>100</v>
      </c>
      <c r="W1180" s="28">
        <v>64.29</v>
      </c>
      <c r="X1180" s="34" t="s">
        <v>54</v>
      </c>
      <c r="Y1180" s="33">
        <v>64.29</v>
      </c>
      <c r="AC1180" s="28">
        <v>64.29</v>
      </c>
      <c r="AD1180" s="34" t="s">
        <v>54</v>
      </c>
      <c r="AE1180" s="33">
        <v>64.29</v>
      </c>
      <c r="AN1180" s="7" t="s">
        <v>54</v>
      </c>
      <c r="AO1180" s="7" t="s">
        <v>55</v>
      </c>
      <c r="AP1180" s="7" t="s">
        <v>56</v>
      </c>
      <c r="AT1180" s="47" t="s">
        <v>57</v>
      </c>
      <c r="AU1180" s="47" t="s">
        <v>57</v>
      </c>
    </row>
    <row r="1181" spans="1:47">
      <c r="A1181" s="4" t="s">
        <v>48</v>
      </c>
      <c r="C1181" s="21"/>
      <c r="D1181" s="22" t="s">
        <v>49</v>
      </c>
      <c r="G1181" s="23">
        <v>45096</v>
      </c>
      <c r="H1181" s="24" t="s">
        <v>3530</v>
      </c>
      <c r="J1181" s="28" t="s">
        <v>51</v>
      </c>
      <c r="L1181" s="24" t="s">
        <v>3531</v>
      </c>
      <c r="M1181" s="1" t="str">
        <f>"413026198810207847"</f>
        <v>413026198810207847</v>
      </c>
      <c r="N1181" s="24" t="s">
        <v>3531</v>
      </c>
      <c r="O1181" s="1" t="str">
        <f>"413026198810207847"</f>
        <v>413026198810207847</v>
      </c>
      <c r="P1181" s="23" t="s">
        <v>3532</v>
      </c>
      <c r="Q1181" s="23">
        <v>45158</v>
      </c>
      <c r="R1181" s="32">
        <v>45524</v>
      </c>
      <c r="V1181" s="33">
        <v>100</v>
      </c>
      <c r="W1181" s="28">
        <v>64.29</v>
      </c>
      <c r="X1181" s="34" t="s">
        <v>54</v>
      </c>
      <c r="Y1181" s="33">
        <v>64.29</v>
      </c>
      <c r="AC1181" s="28">
        <v>64.29</v>
      </c>
      <c r="AD1181" s="34" t="s">
        <v>54</v>
      </c>
      <c r="AE1181" s="33">
        <v>64.29</v>
      </c>
      <c r="AN1181" s="7" t="s">
        <v>54</v>
      </c>
      <c r="AO1181" s="7" t="s">
        <v>55</v>
      </c>
      <c r="AP1181" s="7" t="s">
        <v>56</v>
      </c>
      <c r="AT1181" s="47" t="s">
        <v>57</v>
      </c>
      <c r="AU1181" s="47" t="s">
        <v>57</v>
      </c>
    </row>
    <row r="1182" spans="1:47">
      <c r="A1182" s="4" t="s">
        <v>48</v>
      </c>
      <c r="C1182" s="21"/>
      <c r="D1182" s="22" t="s">
        <v>49</v>
      </c>
      <c r="G1182" s="23">
        <v>45097</v>
      </c>
      <c r="H1182" s="24" t="s">
        <v>3533</v>
      </c>
      <c r="J1182" s="28" t="s">
        <v>51</v>
      </c>
      <c r="L1182" s="24" t="s">
        <v>3534</v>
      </c>
      <c r="M1182" s="1" t="str">
        <f>"132823198006262024"</f>
        <v>132823198006262024</v>
      </c>
      <c r="N1182" s="24" t="s">
        <v>3534</v>
      </c>
      <c r="O1182" s="1" t="str">
        <f>"132823198006262024"</f>
        <v>132823198006262024</v>
      </c>
      <c r="P1182" s="23" t="s">
        <v>3535</v>
      </c>
      <c r="Q1182" s="23">
        <v>45308</v>
      </c>
      <c r="R1182" s="32">
        <v>45674</v>
      </c>
      <c r="V1182" s="33">
        <v>100</v>
      </c>
      <c r="W1182" s="28">
        <v>64.29</v>
      </c>
      <c r="X1182" s="34" t="s">
        <v>54</v>
      </c>
      <c r="Y1182" s="33">
        <v>64.29</v>
      </c>
      <c r="AC1182" s="28">
        <v>64.29</v>
      </c>
      <c r="AD1182" s="34" t="s">
        <v>54</v>
      </c>
      <c r="AE1182" s="33">
        <v>64.29</v>
      </c>
      <c r="AN1182" s="7" t="s">
        <v>54</v>
      </c>
      <c r="AO1182" s="7" t="s">
        <v>55</v>
      </c>
      <c r="AP1182" s="7" t="s">
        <v>56</v>
      </c>
      <c r="AT1182" s="47" t="s">
        <v>57</v>
      </c>
      <c r="AU1182" s="47" t="s">
        <v>57</v>
      </c>
    </row>
    <row r="1183" spans="1:47">
      <c r="A1183" s="4" t="s">
        <v>48</v>
      </c>
      <c r="C1183" s="21"/>
      <c r="D1183" s="22" t="s">
        <v>49</v>
      </c>
      <c r="G1183" s="23">
        <v>45087</v>
      </c>
      <c r="H1183" s="24" t="s">
        <v>3536</v>
      </c>
      <c r="J1183" s="28" t="s">
        <v>51</v>
      </c>
      <c r="L1183" s="24" t="s">
        <v>3537</v>
      </c>
      <c r="M1183" s="1" t="str">
        <f>"342101195609290410"</f>
        <v>342101195609290410</v>
      </c>
      <c r="N1183" s="24" t="s">
        <v>3537</v>
      </c>
      <c r="O1183" s="1" t="str">
        <f>"342101195609290410"</f>
        <v>342101195609290410</v>
      </c>
      <c r="P1183" s="23" t="s">
        <v>3538</v>
      </c>
      <c r="Q1183" s="23">
        <v>45088</v>
      </c>
      <c r="R1183" s="32">
        <v>45454</v>
      </c>
      <c r="V1183" s="33">
        <v>100</v>
      </c>
      <c r="W1183" s="28">
        <v>64.29</v>
      </c>
      <c r="X1183" s="34" t="s">
        <v>54</v>
      </c>
      <c r="Y1183" s="33">
        <v>64.29</v>
      </c>
      <c r="AC1183" s="28">
        <v>64.29</v>
      </c>
      <c r="AD1183" s="34" t="s">
        <v>54</v>
      </c>
      <c r="AE1183" s="33">
        <v>64.29</v>
      </c>
      <c r="AN1183" s="7" t="s">
        <v>54</v>
      </c>
      <c r="AO1183" s="7" t="s">
        <v>55</v>
      </c>
      <c r="AP1183" s="7" t="s">
        <v>56</v>
      </c>
      <c r="AT1183" s="47" t="s">
        <v>57</v>
      </c>
      <c r="AU1183" s="47" t="s">
        <v>57</v>
      </c>
    </row>
    <row r="1184" spans="1:47">
      <c r="A1184" s="4" t="s">
        <v>48</v>
      </c>
      <c r="C1184" s="21"/>
      <c r="D1184" s="22" t="s">
        <v>49</v>
      </c>
      <c r="G1184" s="23">
        <v>45085</v>
      </c>
      <c r="H1184" s="24" t="s">
        <v>3539</v>
      </c>
      <c r="J1184" s="28" t="s">
        <v>51</v>
      </c>
      <c r="L1184" s="24" t="s">
        <v>3540</v>
      </c>
      <c r="M1184" s="1" t="str">
        <f>"131082198305272519"</f>
        <v>131082198305272519</v>
      </c>
      <c r="N1184" s="24" t="s">
        <v>3540</v>
      </c>
      <c r="O1184" s="1" t="str">
        <f>"131082198305272519"</f>
        <v>131082198305272519</v>
      </c>
      <c r="P1184" s="23" t="s">
        <v>3541</v>
      </c>
      <c r="Q1184" s="23">
        <v>45086</v>
      </c>
      <c r="R1184" s="32">
        <v>45452</v>
      </c>
      <c r="V1184" s="33">
        <v>100</v>
      </c>
      <c r="W1184" s="28">
        <v>64.29</v>
      </c>
      <c r="X1184" s="34" t="s">
        <v>54</v>
      </c>
      <c r="Y1184" s="33">
        <v>64.29</v>
      </c>
      <c r="AC1184" s="28">
        <v>64.29</v>
      </c>
      <c r="AD1184" s="34" t="s">
        <v>54</v>
      </c>
      <c r="AE1184" s="33">
        <v>64.29</v>
      </c>
      <c r="AN1184" s="7" t="s">
        <v>54</v>
      </c>
      <c r="AO1184" s="7" t="s">
        <v>55</v>
      </c>
      <c r="AP1184" s="7" t="s">
        <v>56</v>
      </c>
      <c r="AT1184" s="47" t="s">
        <v>57</v>
      </c>
      <c r="AU1184" s="47" t="s">
        <v>57</v>
      </c>
    </row>
    <row r="1185" spans="1:47">
      <c r="A1185" s="4" t="s">
        <v>48</v>
      </c>
      <c r="C1185" s="21"/>
      <c r="D1185" s="22" t="s">
        <v>49</v>
      </c>
      <c r="G1185" s="23">
        <v>45083</v>
      </c>
      <c r="H1185" s="24" t="s">
        <v>3542</v>
      </c>
      <c r="J1185" s="28" t="s">
        <v>51</v>
      </c>
      <c r="L1185" s="24" t="s">
        <v>3543</v>
      </c>
      <c r="M1185" s="1" t="str">
        <f>"140402198004080485"</f>
        <v>140402198004080485</v>
      </c>
      <c r="N1185" s="24" t="s">
        <v>3543</v>
      </c>
      <c r="O1185" s="1" t="str">
        <f>"140402198004080485"</f>
        <v>140402198004080485</v>
      </c>
      <c r="P1185" s="23" t="s">
        <v>3544</v>
      </c>
      <c r="Q1185" s="23">
        <v>45097</v>
      </c>
      <c r="R1185" s="32">
        <v>45463</v>
      </c>
      <c r="V1185" s="33">
        <v>100</v>
      </c>
      <c r="W1185" s="28">
        <v>64.29</v>
      </c>
      <c r="X1185" s="34" t="s">
        <v>54</v>
      </c>
      <c r="Y1185" s="33">
        <v>64.29</v>
      </c>
      <c r="AC1185" s="28">
        <v>64.29</v>
      </c>
      <c r="AD1185" s="34" t="s">
        <v>54</v>
      </c>
      <c r="AE1185" s="33">
        <v>64.29</v>
      </c>
      <c r="AN1185" s="7" t="s">
        <v>54</v>
      </c>
      <c r="AO1185" s="7" t="s">
        <v>55</v>
      </c>
      <c r="AP1185" s="7" t="s">
        <v>56</v>
      </c>
      <c r="AT1185" s="47" t="s">
        <v>57</v>
      </c>
      <c r="AU1185" s="47" t="s">
        <v>57</v>
      </c>
    </row>
    <row r="1186" spans="1:47">
      <c r="A1186" s="4" t="s">
        <v>48</v>
      </c>
      <c r="C1186" s="21"/>
      <c r="D1186" s="22" t="s">
        <v>49</v>
      </c>
      <c r="G1186" s="23">
        <v>45083</v>
      </c>
      <c r="H1186" s="24" t="s">
        <v>3545</v>
      </c>
      <c r="J1186" s="28" t="s">
        <v>51</v>
      </c>
      <c r="L1186" s="24" t="s">
        <v>3546</v>
      </c>
      <c r="M1186" s="1" t="str">
        <f>"230826199005202869"</f>
        <v>230826199005202869</v>
      </c>
      <c r="N1186" s="24" t="s">
        <v>3546</v>
      </c>
      <c r="O1186" s="1" t="str">
        <f>"230826199005202869"</f>
        <v>230826199005202869</v>
      </c>
      <c r="P1186" s="23" t="s">
        <v>3547</v>
      </c>
      <c r="Q1186" s="23">
        <v>45139</v>
      </c>
      <c r="R1186" s="32">
        <v>45505</v>
      </c>
      <c r="V1186" s="33">
        <v>100</v>
      </c>
      <c r="W1186" s="28">
        <v>64.29</v>
      </c>
      <c r="X1186" s="34" t="s">
        <v>54</v>
      </c>
      <c r="Y1186" s="33">
        <v>64.29</v>
      </c>
      <c r="AC1186" s="28">
        <v>64.29</v>
      </c>
      <c r="AD1186" s="34" t="s">
        <v>54</v>
      </c>
      <c r="AE1186" s="33">
        <v>64.29</v>
      </c>
      <c r="AN1186" s="7" t="s">
        <v>54</v>
      </c>
      <c r="AO1186" s="7" t="s">
        <v>55</v>
      </c>
      <c r="AP1186" s="7" t="s">
        <v>56</v>
      </c>
      <c r="AT1186" s="47" t="s">
        <v>57</v>
      </c>
      <c r="AU1186" s="47" t="s">
        <v>57</v>
      </c>
    </row>
    <row r="1187" spans="1:47">
      <c r="A1187" s="4" t="s">
        <v>48</v>
      </c>
      <c r="C1187" s="21"/>
      <c r="D1187" s="22" t="s">
        <v>49</v>
      </c>
      <c r="G1187" s="23">
        <v>45083</v>
      </c>
      <c r="H1187" s="24" t="s">
        <v>3548</v>
      </c>
      <c r="J1187" s="28" t="s">
        <v>51</v>
      </c>
      <c r="L1187" s="24" t="s">
        <v>3549</v>
      </c>
      <c r="M1187" s="1" t="str">
        <f>"131082198909272034"</f>
        <v>131082198909272034</v>
      </c>
      <c r="N1187" s="24" t="s">
        <v>3549</v>
      </c>
      <c r="O1187" s="1" t="str">
        <f>"131082198909272034"</f>
        <v>131082198909272034</v>
      </c>
      <c r="P1187" s="23" t="s">
        <v>3550</v>
      </c>
      <c r="Q1187" s="23">
        <v>45139</v>
      </c>
      <c r="R1187" s="32">
        <v>45505</v>
      </c>
      <c r="V1187" s="33">
        <v>100</v>
      </c>
      <c r="W1187" s="28">
        <v>64.29</v>
      </c>
      <c r="X1187" s="34" t="s">
        <v>54</v>
      </c>
      <c r="Y1187" s="33">
        <v>64.29</v>
      </c>
      <c r="AC1187" s="28">
        <v>64.29</v>
      </c>
      <c r="AD1187" s="34" t="s">
        <v>54</v>
      </c>
      <c r="AE1187" s="33">
        <v>64.29</v>
      </c>
      <c r="AN1187" s="7" t="s">
        <v>54</v>
      </c>
      <c r="AO1187" s="7" t="s">
        <v>55</v>
      </c>
      <c r="AP1187" s="7" t="s">
        <v>56</v>
      </c>
      <c r="AT1187" s="47" t="s">
        <v>57</v>
      </c>
      <c r="AU1187" s="47" t="s">
        <v>57</v>
      </c>
    </row>
    <row r="1188" spans="1:47">
      <c r="A1188" s="4" t="s">
        <v>48</v>
      </c>
      <c r="C1188" s="21"/>
      <c r="D1188" s="22" t="s">
        <v>49</v>
      </c>
      <c r="G1188" s="23">
        <v>45084</v>
      </c>
      <c r="H1188" s="24" t="s">
        <v>3551</v>
      </c>
      <c r="J1188" s="28" t="s">
        <v>51</v>
      </c>
      <c r="L1188" s="24" t="s">
        <v>3552</v>
      </c>
      <c r="M1188" s="1" t="str">
        <f>"131082196805198512"</f>
        <v>131082196805198512</v>
      </c>
      <c r="N1188" s="24" t="s">
        <v>3552</v>
      </c>
      <c r="O1188" s="1" t="str">
        <f>"131082196805198512"</f>
        <v>131082196805198512</v>
      </c>
      <c r="P1188" s="23" t="s">
        <v>3553</v>
      </c>
      <c r="Q1188" s="23">
        <v>45138</v>
      </c>
      <c r="R1188" s="32">
        <v>45504</v>
      </c>
      <c r="V1188" s="33">
        <v>100</v>
      </c>
      <c r="W1188" s="28">
        <v>64.29</v>
      </c>
      <c r="X1188" s="34" t="s">
        <v>54</v>
      </c>
      <c r="Y1188" s="33">
        <v>64.29</v>
      </c>
      <c r="AC1188" s="28">
        <v>64.29</v>
      </c>
      <c r="AD1188" s="34" t="s">
        <v>54</v>
      </c>
      <c r="AE1188" s="33">
        <v>64.29</v>
      </c>
      <c r="AN1188" s="7" t="s">
        <v>54</v>
      </c>
      <c r="AO1188" s="7" t="s">
        <v>55</v>
      </c>
      <c r="AP1188" s="7" t="s">
        <v>56</v>
      </c>
      <c r="AT1188" s="47" t="s">
        <v>57</v>
      </c>
      <c r="AU1188" s="47" t="s">
        <v>57</v>
      </c>
    </row>
    <row r="1189" spans="1:47">
      <c r="A1189" s="4" t="s">
        <v>48</v>
      </c>
      <c r="C1189" s="21"/>
      <c r="D1189" s="22" t="s">
        <v>49</v>
      </c>
      <c r="G1189" s="23">
        <v>45097</v>
      </c>
      <c r="H1189" s="24" t="s">
        <v>3554</v>
      </c>
      <c r="J1189" s="28" t="s">
        <v>51</v>
      </c>
      <c r="L1189" s="24" t="s">
        <v>2740</v>
      </c>
      <c r="M1189" s="1" t="str">
        <f>"342101197106168025"</f>
        <v>342101197106168025</v>
      </c>
      <c r="N1189" s="24" t="s">
        <v>2740</v>
      </c>
      <c r="O1189" s="1" t="str">
        <f>"342101197106168025"</f>
        <v>342101197106168025</v>
      </c>
      <c r="P1189" s="23" t="s">
        <v>3555</v>
      </c>
      <c r="Q1189" s="23">
        <v>45098</v>
      </c>
      <c r="R1189" s="32">
        <v>45464</v>
      </c>
      <c r="V1189" s="33">
        <v>200</v>
      </c>
      <c r="W1189" s="28">
        <v>64.29</v>
      </c>
      <c r="X1189" s="34" t="s">
        <v>54</v>
      </c>
      <c r="Y1189" s="33">
        <v>128.58</v>
      </c>
      <c r="AC1189" s="28">
        <v>64.29</v>
      </c>
      <c r="AD1189" s="34" t="s">
        <v>54</v>
      </c>
      <c r="AE1189" s="33">
        <v>128.58</v>
      </c>
      <c r="AN1189" s="7" t="s">
        <v>54</v>
      </c>
      <c r="AO1189" s="7" t="s">
        <v>55</v>
      </c>
      <c r="AP1189" s="7" t="s">
        <v>56</v>
      </c>
      <c r="AT1189" s="47" t="s">
        <v>57</v>
      </c>
      <c r="AU1189" s="47" t="s">
        <v>57</v>
      </c>
    </row>
    <row r="1190" spans="1:47">
      <c r="A1190" s="4" t="s">
        <v>48</v>
      </c>
      <c r="C1190" s="21"/>
      <c r="D1190" s="22" t="s">
        <v>49</v>
      </c>
      <c r="G1190" s="23">
        <v>45096</v>
      </c>
      <c r="H1190" s="24" t="s">
        <v>3556</v>
      </c>
      <c r="J1190" s="28" t="s">
        <v>51</v>
      </c>
      <c r="L1190" s="24" t="s">
        <v>3557</v>
      </c>
      <c r="M1190" s="1" t="str">
        <f>"341226198702224448"</f>
        <v>341226198702224448</v>
      </c>
      <c r="N1190" s="24" t="s">
        <v>3557</v>
      </c>
      <c r="O1190" s="1" t="str">
        <f>"341226198702224448"</f>
        <v>341226198702224448</v>
      </c>
      <c r="P1190" s="23" t="s">
        <v>3558</v>
      </c>
      <c r="Q1190" s="23">
        <v>45097</v>
      </c>
      <c r="R1190" s="32">
        <v>45463</v>
      </c>
      <c r="V1190" s="33">
        <v>200</v>
      </c>
      <c r="W1190" s="28">
        <v>64.29</v>
      </c>
      <c r="X1190" s="34" t="s">
        <v>54</v>
      </c>
      <c r="Y1190" s="33">
        <v>128.58</v>
      </c>
      <c r="AC1190" s="28">
        <v>64.29</v>
      </c>
      <c r="AD1190" s="34" t="s">
        <v>54</v>
      </c>
      <c r="AE1190" s="33">
        <v>128.58</v>
      </c>
      <c r="AN1190" s="7" t="s">
        <v>54</v>
      </c>
      <c r="AO1190" s="7" t="s">
        <v>55</v>
      </c>
      <c r="AP1190" s="7" t="s">
        <v>56</v>
      </c>
      <c r="AT1190" s="47" t="s">
        <v>57</v>
      </c>
      <c r="AU1190" s="47" t="s">
        <v>57</v>
      </c>
    </row>
    <row r="1191" spans="1:47">
      <c r="A1191" s="4" t="s">
        <v>48</v>
      </c>
      <c r="C1191" s="21"/>
      <c r="D1191" s="22" t="s">
        <v>49</v>
      </c>
      <c r="G1191" s="23">
        <v>45096</v>
      </c>
      <c r="H1191" s="24" t="s">
        <v>3559</v>
      </c>
      <c r="J1191" s="28" t="s">
        <v>51</v>
      </c>
      <c r="L1191" s="24" t="s">
        <v>3560</v>
      </c>
      <c r="M1191" s="1" t="str">
        <f>"630103194503162010"</f>
        <v>630103194503162010</v>
      </c>
      <c r="N1191" s="24" t="s">
        <v>3560</v>
      </c>
      <c r="O1191" s="1" t="str">
        <f>"630103194503162010"</f>
        <v>630103194503162010</v>
      </c>
      <c r="P1191" s="23" t="s">
        <v>3561</v>
      </c>
      <c r="Q1191" s="23">
        <v>45219</v>
      </c>
      <c r="R1191" s="32">
        <v>45585</v>
      </c>
      <c r="V1191" s="33">
        <v>200</v>
      </c>
      <c r="W1191" s="28">
        <v>64.29</v>
      </c>
      <c r="X1191" s="34" t="s">
        <v>54</v>
      </c>
      <c r="Y1191" s="33">
        <v>128.58</v>
      </c>
      <c r="AC1191" s="28">
        <v>64.29</v>
      </c>
      <c r="AD1191" s="34" t="s">
        <v>54</v>
      </c>
      <c r="AE1191" s="33">
        <v>128.58</v>
      </c>
      <c r="AN1191" s="7" t="s">
        <v>54</v>
      </c>
      <c r="AO1191" s="7" t="s">
        <v>55</v>
      </c>
      <c r="AP1191" s="7" t="s">
        <v>56</v>
      </c>
      <c r="AT1191" s="47" t="s">
        <v>57</v>
      </c>
      <c r="AU1191" s="47" t="s">
        <v>57</v>
      </c>
    </row>
    <row r="1192" spans="1:47">
      <c r="A1192" s="4" t="s">
        <v>48</v>
      </c>
      <c r="C1192" s="21"/>
      <c r="D1192" s="22" t="s">
        <v>49</v>
      </c>
      <c r="G1192" s="23">
        <v>45097</v>
      </c>
      <c r="H1192" s="24" t="s">
        <v>3562</v>
      </c>
      <c r="J1192" s="28" t="s">
        <v>51</v>
      </c>
      <c r="L1192" s="24" t="s">
        <v>3563</v>
      </c>
      <c r="M1192" s="1" t="str">
        <f>"372421197409014215"</f>
        <v>372421197409014215</v>
      </c>
      <c r="N1192" s="24" t="s">
        <v>3563</v>
      </c>
      <c r="O1192" s="1" t="str">
        <f>"372421197409014215"</f>
        <v>372421197409014215</v>
      </c>
      <c r="P1192" s="23" t="s">
        <v>3564</v>
      </c>
      <c r="Q1192" s="23">
        <v>45292</v>
      </c>
      <c r="R1192" s="32">
        <v>45658</v>
      </c>
      <c r="V1192" s="33">
        <v>200</v>
      </c>
      <c r="W1192" s="28">
        <v>64.29</v>
      </c>
      <c r="X1192" s="34" t="s">
        <v>54</v>
      </c>
      <c r="Y1192" s="33">
        <v>128.58</v>
      </c>
      <c r="AC1192" s="28">
        <v>64.29</v>
      </c>
      <c r="AD1192" s="34" t="s">
        <v>54</v>
      </c>
      <c r="AE1192" s="33">
        <v>128.58</v>
      </c>
      <c r="AN1192" s="7" t="s">
        <v>54</v>
      </c>
      <c r="AO1192" s="7" t="s">
        <v>55</v>
      </c>
      <c r="AP1192" s="7" t="s">
        <v>56</v>
      </c>
      <c r="AT1192" s="47" t="s">
        <v>57</v>
      </c>
      <c r="AU1192" s="47" t="s">
        <v>57</v>
      </c>
    </row>
    <row r="1193" spans="1:47">
      <c r="A1193" s="4" t="s">
        <v>48</v>
      </c>
      <c r="C1193" s="21"/>
      <c r="D1193" s="22" t="s">
        <v>49</v>
      </c>
      <c r="G1193" s="23">
        <v>45098</v>
      </c>
      <c r="H1193" s="24" t="s">
        <v>3565</v>
      </c>
      <c r="J1193" s="28" t="s">
        <v>51</v>
      </c>
      <c r="L1193" s="24" t="s">
        <v>3566</v>
      </c>
      <c r="M1193" s="1" t="str">
        <f>"341202199312040014"</f>
        <v>341202199312040014</v>
      </c>
      <c r="N1193" s="24" t="s">
        <v>3566</v>
      </c>
      <c r="O1193" s="1" t="str">
        <f>"341202199312040014"</f>
        <v>341202199312040014</v>
      </c>
      <c r="P1193" s="23" t="s">
        <v>3567</v>
      </c>
      <c r="Q1193" s="23">
        <v>45099</v>
      </c>
      <c r="R1193" s="32">
        <v>45465</v>
      </c>
      <c r="V1193" s="33">
        <v>200</v>
      </c>
      <c r="W1193" s="28">
        <v>64.29</v>
      </c>
      <c r="X1193" s="34" t="s">
        <v>54</v>
      </c>
      <c r="Y1193" s="33">
        <v>128.58</v>
      </c>
      <c r="AC1193" s="28">
        <v>64.29</v>
      </c>
      <c r="AD1193" s="34" t="s">
        <v>54</v>
      </c>
      <c r="AE1193" s="33">
        <v>128.58</v>
      </c>
      <c r="AN1193" s="7" t="s">
        <v>54</v>
      </c>
      <c r="AO1193" s="7" t="s">
        <v>55</v>
      </c>
      <c r="AP1193" s="7" t="s">
        <v>56</v>
      </c>
      <c r="AT1193" s="47" t="s">
        <v>57</v>
      </c>
      <c r="AU1193" s="47" t="s">
        <v>57</v>
      </c>
    </row>
    <row r="1194" spans="1:47">
      <c r="A1194" s="4" t="s">
        <v>48</v>
      </c>
      <c r="C1194" s="21"/>
      <c r="D1194" s="22" t="s">
        <v>49</v>
      </c>
      <c r="G1194" s="23">
        <v>45083</v>
      </c>
      <c r="H1194" s="24" t="s">
        <v>3568</v>
      </c>
      <c r="J1194" s="28" t="s">
        <v>51</v>
      </c>
      <c r="L1194" s="24" t="s">
        <v>3569</v>
      </c>
      <c r="M1194" s="1" t="str">
        <f>"342122196003105440"</f>
        <v>342122196003105440</v>
      </c>
      <c r="N1194" s="24" t="s">
        <v>3569</v>
      </c>
      <c r="O1194" s="1" t="str">
        <f>"342122196003105440"</f>
        <v>342122196003105440</v>
      </c>
      <c r="P1194" s="23" t="s">
        <v>3570</v>
      </c>
      <c r="Q1194" s="23">
        <v>45084</v>
      </c>
      <c r="R1194" s="32">
        <v>45450</v>
      </c>
      <c r="V1194" s="33">
        <v>50</v>
      </c>
      <c r="W1194" s="28">
        <v>64.29</v>
      </c>
      <c r="X1194" s="34" t="s">
        <v>54</v>
      </c>
      <c r="Y1194" s="33">
        <v>32.15</v>
      </c>
      <c r="AC1194" s="28">
        <v>64.29</v>
      </c>
      <c r="AD1194" s="34" t="s">
        <v>54</v>
      </c>
      <c r="AE1194" s="33">
        <v>32.15</v>
      </c>
      <c r="AN1194" s="7" t="s">
        <v>54</v>
      </c>
      <c r="AO1194" s="7" t="s">
        <v>55</v>
      </c>
      <c r="AP1194" s="7" t="s">
        <v>56</v>
      </c>
      <c r="AT1194" s="47" t="s">
        <v>57</v>
      </c>
      <c r="AU1194" s="47" t="s">
        <v>57</v>
      </c>
    </row>
    <row r="1195" spans="1:47">
      <c r="A1195" s="4" t="s">
        <v>48</v>
      </c>
      <c r="C1195" s="21"/>
      <c r="D1195" s="22" t="s">
        <v>49</v>
      </c>
      <c r="G1195" s="23">
        <v>45085</v>
      </c>
      <c r="H1195" s="24" t="s">
        <v>3571</v>
      </c>
      <c r="J1195" s="28" t="s">
        <v>51</v>
      </c>
      <c r="L1195" s="24" t="s">
        <v>3572</v>
      </c>
      <c r="M1195" s="1" t="str">
        <f>"130626198705116858"</f>
        <v>130626198705116858</v>
      </c>
      <c r="N1195" s="24" t="s">
        <v>3572</v>
      </c>
      <c r="O1195" s="1" t="str">
        <f>"130626198705116858"</f>
        <v>130626198705116858</v>
      </c>
      <c r="P1195" s="23" t="s">
        <v>3573</v>
      </c>
      <c r="Q1195" s="23">
        <v>45086</v>
      </c>
      <c r="R1195" s="32">
        <v>45452</v>
      </c>
      <c r="V1195" s="33">
        <v>50</v>
      </c>
      <c r="W1195" s="28">
        <v>64.29</v>
      </c>
      <c r="X1195" s="34" t="s">
        <v>54</v>
      </c>
      <c r="Y1195" s="33">
        <v>32.15</v>
      </c>
      <c r="AC1195" s="28">
        <v>64.29</v>
      </c>
      <c r="AD1195" s="34" t="s">
        <v>54</v>
      </c>
      <c r="AE1195" s="33">
        <v>32.15</v>
      </c>
      <c r="AN1195" s="7" t="s">
        <v>54</v>
      </c>
      <c r="AO1195" s="7" t="s">
        <v>55</v>
      </c>
      <c r="AP1195" s="7" t="s">
        <v>56</v>
      </c>
      <c r="AT1195" s="47" t="s">
        <v>57</v>
      </c>
      <c r="AU1195" s="47" t="s">
        <v>57</v>
      </c>
    </row>
    <row r="1196" spans="1:47">
      <c r="A1196" s="4" t="s">
        <v>48</v>
      </c>
      <c r="C1196" s="21"/>
      <c r="D1196" s="22" t="s">
        <v>49</v>
      </c>
      <c r="G1196" s="23">
        <v>45093</v>
      </c>
      <c r="H1196" s="24" t="s">
        <v>3574</v>
      </c>
      <c r="J1196" s="28" t="s">
        <v>51</v>
      </c>
      <c r="L1196" s="24" t="s">
        <v>3575</v>
      </c>
      <c r="M1196" s="1" t="str">
        <f>"131082199008310536"</f>
        <v>131082199008310536</v>
      </c>
      <c r="N1196" s="24" t="s">
        <v>3575</v>
      </c>
      <c r="O1196" s="1" t="str">
        <f>"131082199008310536"</f>
        <v>131082199008310536</v>
      </c>
      <c r="P1196" s="23" t="s">
        <v>3576</v>
      </c>
      <c r="Q1196" s="23">
        <v>45216</v>
      </c>
      <c r="R1196" s="32">
        <v>45582</v>
      </c>
      <c r="V1196" s="33">
        <v>100</v>
      </c>
      <c r="W1196" s="28">
        <v>64.29</v>
      </c>
      <c r="X1196" s="34" t="s">
        <v>54</v>
      </c>
      <c r="Y1196" s="33">
        <v>64.29</v>
      </c>
      <c r="AC1196" s="28">
        <v>64.29</v>
      </c>
      <c r="AD1196" s="34" t="s">
        <v>54</v>
      </c>
      <c r="AE1196" s="33">
        <v>64.29</v>
      </c>
      <c r="AN1196" s="7" t="s">
        <v>54</v>
      </c>
      <c r="AO1196" s="7" t="s">
        <v>55</v>
      </c>
      <c r="AP1196" s="7" t="s">
        <v>56</v>
      </c>
      <c r="AT1196" s="47" t="s">
        <v>57</v>
      </c>
      <c r="AU1196" s="47" t="s">
        <v>57</v>
      </c>
    </row>
    <row r="1197" spans="1:47">
      <c r="A1197" s="4" t="s">
        <v>48</v>
      </c>
      <c r="C1197" s="21"/>
      <c r="D1197" s="22" t="s">
        <v>49</v>
      </c>
      <c r="G1197" s="23">
        <v>45093</v>
      </c>
      <c r="H1197" s="24" t="s">
        <v>3577</v>
      </c>
      <c r="J1197" s="28" t="s">
        <v>51</v>
      </c>
      <c r="L1197" s="24" t="s">
        <v>3578</v>
      </c>
      <c r="M1197" s="1" t="str">
        <f>"342101196308311024"</f>
        <v>342101196308311024</v>
      </c>
      <c r="N1197" s="24" t="s">
        <v>3578</v>
      </c>
      <c r="O1197" s="1" t="str">
        <f>"342101196308311024"</f>
        <v>342101196308311024</v>
      </c>
      <c r="P1197" s="23" t="s">
        <v>3579</v>
      </c>
      <c r="Q1197" s="23">
        <v>45094</v>
      </c>
      <c r="R1197" s="32">
        <v>45460</v>
      </c>
      <c r="V1197" s="33">
        <v>100</v>
      </c>
      <c r="W1197" s="28">
        <v>64.29</v>
      </c>
      <c r="X1197" s="34" t="s">
        <v>54</v>
      </c>
      <c r="Y1197" s="33">
        <v>64.29</v>
      </c>
      <c r="AC1197" s="28">
        <v>64.29</v>
      </c>
      <c r="AD1197" s="34" t="s">
        <v>54</v>
      </c>
      <c r="AE1197" s="33">
        <v>64.29</v>
      </c>
      <c r="AN1197" s="7" t="s">
        <v>54</v>
      </c>
      <c r="AO1197" s="7" t="s">
        <v>55</v>
      </c>
      <c r="AP1197" s="7" t="s">
        <v>56</v>
      </c>
      <c r="AT1197" s="47" t="s">
        <v>57</v>
      </c>
      <c r="AU1197" s="47" t="s">
        <v>57</v>
      </c>
    </row>
    <row r="1198" spans="1:47">
      <c r="A1198" s="4" t="s">
        <v>48</v>
      </c>
      <c r="C1198" s="21"/>
      <c r="D1198" s="22" t="s">
        <v>49</v>
      </c>
      <c r="G1198" s="23">
        <v>45093</v>
      </c>
      <c r="H1198" s="24" t="s">
        <v>3580</v>
      </c>
      <c r="J1198" s="28" t="s">
        <v>51</v>
      </c>
      <c r="L1198" s="24" t="s">
        <v>3581</v>
      </c>
      <c r="M1198" s="1" t="str">
        <f>"230621199110132169"</f>
        <v>230621199110132169</v>
      </c>
      <c r="N1198" s="24" t="s">
        <v>3581</v>
      </c>
      <c r="O1198" s="1" t="str">
        <f>"230621199110132169"</f>
        <v>230621199110132169</v>
      </c>
      <c r="P1198" s="23" t="s">
        <v>3582</v>
      </c>
      <c r="Q1198" s="23">
        <v>45216</v>
      </c>
      <c r="R1198" s="32">
        <v>45582</v>
      </c>
      <c r="V1198" s="33">
        <v>100</v>
      </c>
      <c r="W1198" s="28">
        <v>64.29</v>
      </c>
      <c r="X1198" s="34" t="s">
        <v>54</v>
      </c>
      <c r="Y1198" s="33">
        <v>64.29</v>
      </c>
      <c r="AC1198" s="28">
        <v>64.29</v>
      </c>
      <c r="AD1198" s="34" t="s">
        <v>54</v>
      </c>
      <c r="AE1198" s="33">
        <v>64.29</v>
      </c>
      <c r="AN1198" s="7" t="s">
        <v>54</v>
      </c>
      <c r="AO1198" s="7" t="s">
        <v>55</v>
      </c>
      <c r="AP1198" s="7" t="s">
        <v>56</v>
      </c>
      <c r="AT1198" s="47" t="s">
        <v>57</v>
      </c>
      <c r="AU1198" s="47" t="s">
        <v>57</v>
      </c>
    </row>
    <row r="1199" spans="1:47">
      <c r="A1199" s="4" t="s">
        <v>48</v>
      </c>
      <c r="C1199" s="21"/>
      <c r="D1199" s="22" t="s">
        <v>49</v>
      </c>
      <c r="G1199" s="23">
        <v>45096</v>
      </c>
      <c r="H1199" s="24" t="s">
        <v>3583</v>
      </c>
      <c r="J1199" s="28" t="s">
        <v>51</v>
      </c>
      <c r="L1199" s="24" t="s">
        <v>3584</v>
      </c>
      <c r="M1199" s="1" t="str">
        <f>"132821196701138277"</f>
        <v>132821196701138277</v>
      </c>
      <c r="N1199" s="24" t="s">
        <v>3584</v>
      </c>
      <c r="O1199" s="1" t="str">
        <f>"132821196701138277"</f>
        <v>132821196701138277</v>
      </c>
      <c r="P1199" s="23" t="s">
        <v>3585</v>
      </c>
      <c r="Q1199" s="23">
        <v>45097</v>
      </c>
      <c r="R1199" s="32">
        <v>45463</v>
      </c>
      <c r="V1199" s="33">
        <v>100</v>
      </c>
      <c r="W1199" s="28">
        <v>64.29</v>
      </c>
      <c r="X1199" s="34" t="s">
        <v>54</v>
      </c>
      <c r="Y1199" s="33">
        <v>64.29</v>
      </c>
      <c r="AC1199" s="28">
        <v>64.29</v>
      </c>
      <c r="AD1199" s="34" t="s">
        <v>54</v>
      </c>
      <c r="AE1199" s="33">
        <v>64.29</v>
      </c>
      <c r="AN1199" s="7" t="s">
        <v>54</v>
      </c>
      <c r="AO1199" s="7" t="s">
        <v>55</v>
      </c>
      <c r="AP1199" s="7" t="s">
        <v>56</v>
      </c>
      <c r="AT1199" s="47" t="s">
        <v>57</v>
      </c>
      <c r="AU1199" s="47" t="s">
        <v>57</v>
      </c>
    </row>
    <row r="1200" spans="1:47">
      <c r="A1200" s="4" t="s">
        <v>48</v>
      </c>
      <c r="C1200" s="21"/>
      <c r="D1200" s="22" t="s">
        <v>49</v>
      </c>
      <c r="G1200" s="23">
        <v>45083</v>
      </c>
      <c r="H1200" s="24" t="s">
        <v>3586</v>
      </c>
      <c r="J1200" s="28" t="s">
        <v>51</v>
      </c>
      <c r="L1200" s="24" t="s">
        <v>3587</v>
      </c>
      <c r="M1200" s="1" t="str">
        <f>"131082198702270285"</f>
        <v>131082198702270285</v>
      </c>
      <c r="N1200" s="24" t="s">
        <v>3587</v>
      </c>
      <c r="O1200" s="1" t="str">
        <f>"131082198702270285"</f>
        <v>131082198702270285</v>
      </c>
      <c r="P1200" s="23" t="s">
        <v>3588</v>
      </c>
      <c r="Q1200" s="23">
        <v>45084</v>
      </c>
      <c r="R1200" s="32">
        <v>45450</v>
      </c>
      <c r="V1200" s="33">
        <v>100</v>
      </c>
      <c r="W1200" s="28">
        <v>64.29</v>
      </c>
      <c r="X1200" s="34" t="s">
        <v>54</v>
      </c>
      <c r="Y1200" s="33">
        <v>64.29</v>
      </c>
      <c r="AC1200" s="28">
        <v>64.29</v>
      </c>
      <c r="AD1200" s="34" t="s">
        <v>54</v>
      </c>
      <c r="AE1200" s="33">
        <v>64.29</v>
      </c>
      <c r="AN1200" s="7" t="s">
        <v>54</v>
      </c>
      <c r="AO1200" s="7" t="s">
        <v>55</v>
      </c>
      <c r="AP1200" s="7" t="s">
        <v>56</v>
      </c>
      <c r="AT1200" s="47" t="s">
        <v>57</v>
      </c>
      <c r="AU1200" s="47" t="s">
        <v>57</v>
      </c>
    </row>
    <row r="1201" spans="1:47">
      <c r="A1201" s="4" t="s">
        <v>48</v>
      </c>
      <c r="C1201" s="21"/>
      <c r="D1201" s="22" t="s">
        <v>49</v>
      </c>
      <c r="G1201" s="23">
        <v>45083</v>
      </c>
      <c r="H1201" s="24" t="s">
        <v>3589</v>
      </c>
      <c r="J1201" s="28" t="s">
        <v>51</v>
      </c>
      <c r="L1201" s="24" t="s">
        <v>3590</v>
      </c>
      <c r="M1201" s="1" t="str">
        <f>"110103198405171841"</f>
        <v>110103198405171841</v>
      </c>
      <c r="N1201" s="24" t="s">
        <v>3590</v>
      </c>
      <c r="O1201" s="1" t="str">
        <f>"110103198405171841"</f>
        <v>110103198405171841</v>
      </c>
      <c r="P1201" s="23" t="s">
        <v>3591</v>
      </c>
      <c r="Q1201" s="23">
        <v>45170</v>
      </c>
      <c r="R1201" s="32">
        <v>45536</v>
      </c>
      <c r="V1201" s="33">
        <v>100</v>
      </c>
      <c r="W1201" s="28">
        <v>64.29</v>
      </c>
      <c r="X1201" s="34" t="s">
        <v>54</v>
      </c>
      <c r="Y1201" s="33">
        <v>64.29</v>
      </c>
      <c r="AC1201" s="28">
        <v>64.29</v>
      </c>
      <c r="AD1201" s="34" t="s">
        <v>54</v>
      </c>
      <c r="AE1201" s="33">
        <v>64.29</v>
      </c>
      <c r="AN1201" s="7" t="s">
        <v>54</v>
      </c>
      <c r="AO1201" s="7" t="s">
        <v>55</v>
      </c>
      <c r="AP1201" s="7" t="s">
        <v>56</v>
      </c>
      <c r="AT1201" s="47" t="s">
        <v>57</v>
      </c>
      <c r="AU1201" s="47" t="s">
        <v>57</v>
      </c>
    </row>
    <row r="1202" spans="1:47">
      <c r="A1202" s="4" t="s">
        <v>48</v>
      </c>
      <c r="C1202" s="21"/>
      <c r="D1202" s="22" t="s">
        <v>49</v>
      </c>
      <c r="G1202" s="23">
        <v>45083</v>
      </c>
      <c r="H1202" s="24" t="s">
        <v>3592</v>
      </c>
      <c r="J1202" s="28" t="s">
        <v>51</v>
      </c>
      <c r="L1202" s="24" t="s">
        <v>3593</v>
      </c>
      <c r="M1202" s="1" t="str">
        <f>"342128196505150119"</f>
        <v>342128196505150119</v>
      </c>
      <c r="N1202" s="24" t="s">
        <v>3593</v>
      </c>
      <c r="O1202" s="1" t="str">
        <f>"342128196505150119"</f>
        <v>342128196505150119</v>
      </c>
      <c r="P1202" s="23" t="s">
        <v>3594</v>
      </c>
      <c r="Q1202" s="23">
        <v>45237</v>
      </c>
      <c r="R1202" s="32">
        <v>45603</v>
      </c>
      <c r="V1202" s="33">
        <v>100</v>
      </c>
      <c r="W1202" s="28">
        <v>64.29</v>
      </c>
      <c r="X1202" s="34" t="s">
        <v>54</v>
      </c>
      <c r="Y1202" s="33">
        <v>64.29</v>
      </c>
      <c r="AC1202" s="28">
        <v>64.29</v>
      </c>
      <c r="AD1202" s="34" t="s">
        <v>54</v>
      </c>
      <c r="AE1202" s="33">
        <v>64.29</v>
      </c>
      <c r="AN1202" s="7" t="s">
        <v>54</v>
      </c>
      <c r="AO1202" s="7" t="s">
        <v>55</v>
      </c>
      <c r="AP1202" s="7" t="s">
        <v>56</v>
      </c>
      <c r="AT1202" s="47" t="s">
        <v>57</v>
      </c>
      <c r="AU1202" s="47" t="s">
        <v>57</v>
      </c>
    </row>
    <row r="1203" spans="1:47">
      <c r="A1203" s="4" t="s">
        <v>48</v>
      </c>
      <c r="C1203" s="21"/>
      <c r="D1203" s="22" t="s">
        <v>49</v>
      </c>
      <c r="G1203" s="23">
        <v>45083</v>
      </c>
      <c r="H1203" s="24" t="s">
        <v>3595</v>
      </c>
      <c r="J1203" s="28" t="s">
        <v>51</v>
      </c>
      <c r="L1203" s="24" t="s">
        <v>3596</v>
      </c>
      <c r="M1203" s="1" t="str">
        <f>"342101194407100012"</f>
        <v>342101194407100012</v>
      </c>
      <c r="N1203" s="24" t="s">
        <v>3596</v>
      </c>
      <c r="O1203" s="1" t="str">
        <f>"342101194407100012"</f>
        <v>342101194407100012</v>
      </c>
      <c r="P1203" s="23" t="s">
        <v>3597</v>
      </c>
      <c r="Q1203" s="23">
        <v>45170</v>
      </c>
      <c r="R1203" s="32">
        <v>45536</v>
      </c>
      <c r="V1203" s="33">
        <v>100</v>
      </c>
      <c r="W1203" s="28">
        <v>64.29</v>
      </c>
      <c r="X1203" s="34" t="s">
        <v>54</v>
      </c>
      <c r="Y1203" s="33">
        <v>64.29</v>
      </c>
      <c r="AC1203" s="28">
        <v>64.29</v>
      </c>
      <c r="AD1203" s="34" t="s">
        <v>54</v>
      </c>
      <c r="AE1203" s="33">
        <v>64.29</v>
      </c>
      <c r="AN1203" s="7" t="s">
        <v>54</v>
      </c>
      <c r="AO1203" s="7" t="s">
        <v>55</v>
      </c>
      <c r="AP1203" s="7" t="s">
        <v>56</v>
      </c>
      <c r="AT1203" s="47" t="s">
        <v>57</v>
      </c>
      <c r="AU1203" s="47" t="s">
        <v>57</v>
      </c>
    </row>
    <row r="1204" spans="1:47">
      <c r="A1204" s="4" t="s">
        <v>48</v>
      </c>
      <c r="C1204" s="21"/>
      <c r="D1204" s="22" t="s">
        <v>49</v>
      </c>
      <c r="G1204" s="23">
        <v>45083</v>
      </c>
      <c r="H1204" s="24" t="s">
        <v>3598</v>
      </c>
      <c r="J1204" s="28" t="s">
        <v>51</v>
      </c>
      <c r="L1204" s="24" t="s">
        <v>3599</v>
      </c>
      <c r="M1204" s="1" t="str">
        <f>"420683198011216121"</f>
        <v>420683198011216121</v>
      </c>
      <c r="N1204" s="24" t="s">
        <v>3599</v>
      </c>
      <c r="O1204" s="1" t="str">
        <f>"420683198011216121"</f>
        <v>420683198011216121</v>
      </c>
      <c r="P1204" s="23" t="s">
        <v>3600</v>
      </c>
      <c r="Q1204" s="23">
        <v>45176</v>
      </c>
      <c r="R1204" s="32">
        <v>45542</v>
      </c>
      <c r="V1204" s="33">
        <v>100</v>
      </c>
      <c r="W1204" s="28">
        <v>64.29</v>
      </c>
      <c r="X1204" s="34" t="s">
        <v>54</v>
      </c>
      <c r="Y1204" s="33">
        <v>64.29</v>
      </c>
      <c r="AC1204" s="28">
        <v>64.29</v>
      </c>
      <c r="AD1204" s="34" t="s">
        <v>54</v>
      </c>
      <c r="AE1204" s="33">
        <v>64.29</v>
      </c>
      <c r="AN1204" s="7" t="s">
        <v>54</v>
      </c>
      <c r="AO1204" s="7" t="s">
        <v>55</v>
      </c>
      <c r="AP1204" s="7" t="s">
        <v>56</v>
      </c>
      <c r="AT1204" s="47" t="s">
        <v>57</v>
      </c>
      <c r="AU1204" s="47" t="s">
        <v>57</v>
      </c>
    </row>
    <row r="1205" spans="1:47">
      <c r="A1205" s="4" t="s">
        <v>48</v>
      </c>
      <c r="C1205" s="21"/>
      <c r="D1205" s="22" t="s">
        <v>49</v>
      </c>
      <c r="G1205" s="23">
        <v>45085</v>
      </c>
      <c r="H1205" s="24" t="s">
        <v>3601</v>
      </c>
      <c r="J1205" s="28" t="s">
        <v>51</v>
      </c>
      <c r="L1205" s="24" t="s">
        <v>3602</v>
      </c>
      <c r="M1205" s="1" t="str">
        <f>"132821196701138277"</f>
        <v>132821196701138277</v>
      </c>
      <c r="N1205" s="24" t="s">
        <v>3602</v>
      </c>
      <c r="O1205" s="1" t="str">
        <f>"132821196701138277"</f>
        <v>132821196701138277</v>
      </c>
      <c r="P1205" s="23" t="s">
        <v>3585</v>
      </c>
      <c r="Q1205" s="23">
        <v>45086</v>
      </c>
      <c r="R1205" s="32">
        <v>45452</v>
      </c>
      <c r="V1205" s="33">
        <v>100</v>
      </c>
      <c r="W1205" s="28">
        <v>64.29</v>
      </c>
      <c r="X1205" s="34" t="s">
        <v>54</v>
      </c>
      <c r="Y1205" s="33">
        <v>64.29</v>
      </c>
      <c r="AC1205" s="28">
        <v>64.29</v>
      </c>
      <c r="AD1205" s="34" t="s">
        <v>54</v>
      </c>
      <c r="AE1205" s="33">
        <v>64.29</v>
      </c>
      <c r="AN1205" s="7" t="s">
        <v>54</v>
      </c>
      <c r="AO1205" s="7" t="s">
        <v>55</v>
      </c>
      <c r="AP1205" s="7" t="s">
        <v>56</v>
      </c>
      <c r="AT1205" s="47" t="s">
        <v>57</v>
      </c>
      <c r="AU1205" s="47" t="s">
        <v>57</v>
      </c>
    </row>
    <row r="1206" spans="1:47">
      <c r="A1206" s="4" t="s">
        <v>48</v>
      </c>
      <c r="C1206" s="21"/>
      <c r="D1206" s="22" t="s">
        <v>49</v>
      </c>
      <c r="G1206" s="23">
        <v>45085</v>
      </c>
      <c r="H1206" s="24" t="s">
        <v>3603</v>
      </c>
      <c r="J1206" s="28" t="s">
        <v>51</v>
      </c>
      <c r="L1206" s="24" t="s">
        <v>3604</v>
      </c>
      <c r="M1206" s="1" t="str">
        <f>"342121196904086578"</f>
        <v>342121196904086578</v>
      </c>
      <c r="N1206" s="24" t="s">
        <v>3604</v>
      </c>
      <c r="O1206" s="1" t="str">
        <f>"342121196904086578"</f>
        <v>342121196904086578</v>
      </c>
      <c r="P1206" s="23" t="s">
        <v>3605</v>
      </c>
      <c r="Q1206" s="23">
        <v>45086</v>
      </c>
      <c r="R1206" s="32">
        <v>45452</v>
      </c>
      <c r="V1206" s="33">
        <v>100</v>
      </c>
      <c r="W1206" s="28">
        <v>64.29</v>
      </c>
      <c r="X1206" s="34" t="s">
        <v>54</v>
      </c>
      <c r="Y1206" s="33">
        <v>64.29</v>
      </c>
      <c r="AC1206" s="28">
        <v>64.29</v>
      </c>
      <c r="AD1206" s="34" t="s">
        <v>54</v>
      </c>
      <c r="AE1206" s="33">
        <v>64.29</v>
      </c>
      <c r="AN1206" s="7" t="s">
        <v>54</v>
      </c>
      <c r="AO1206" s="7" t="s">
        <v>55</v>
      </c>
      <c r="AP1206" s="7" t="s">
        <v>56</v>
      </c>
      <c r="AT1206" s="47" t="s">
        <v>57</v>
      </c>
      <c r="AU1206" s="47" t="s">
        <v>57</v>
      </c>
    </row>
    <row r="1207" spans="1:47">
      <c r="A1207" s="4" t="s">
        <v>48</v>
      </c>
      <c r="C1207" s="21"/>
      <c r="D1207" s="22" t="s">
        <v>49</v>
      </c>
      <c r="G1207" s="23">
        <v>45083</v>
      </c>
      <c r="H1207" s="24" t="s">
        <v>3606</v>
      </c>
      <c r="J1207" s="28" t="s">
        <v>51</v>
      </c>
      <c r="L1207" s="24" t="s">
        <v>3607</v>
      </c>
      <c r="M1207" s="1" t="str">
        <f>"110105198302109124"</f>
        <v>110105198302109124</v>
      </c>
      <c r="N1207" s="24" t="s">
        <v>3607</v>
      </c>
      <c r="O1207" s="1" t="str">
        <f>"110105198302109124"</f>
        <v>110105198302109124</v>
      </c>
      <c r="P1207" s="23" t="s">
        <v>3608</v>
      </c>
      <c r="Q1207" s="23">
        <v>45084</v>
      </c>
      <c r="R1207" s="32">
        <v>45450</v>
      </c>
      <c r="V1207" s="33">
        <v>100</v>
      </c>
      <c r="W1207" s="28">
        <v>64.29</v>
      </c>
      <c r="X1207" s="34" t="s">
        <v>54</v>
      </c>
      <c r="Y1207" s="33">
        <v>64.29</v>
      </c>
      <c r="AC1207" s="28">
        <v>64.29</v>
      </c>
      <c r="AD1207" s="34" t="s">
        <v>54</v>
      </c>
      <c r="AE1207" s="33">
        <v>64.29</v>
      </c>
      <c r="AN1207" s="7" t="s">
        <v>54</v>
      </c>
      <c r="AO1207" s="7" t="s">
        <v>55</v>
      </c>
      <c r="AP1207" s="7" t="s">
        <v>56</v>
      </c>
      <c r="AT1207" s="47" t="s">
        <v>57</v>
      </c>
      <c r="AU1207" s="47" t="s">
        <v>57</v>
      </c>
    </row>
    <row r="1208" spans="1:47">
      <c r="A1208" s="4" t="s">
        <v>48</v>
      </c>
      <c r="C1208" s="21"/>
      <c r="D1208" s="22" t="s">
        <v>49</v>
      </c>
      <c r="G1208" s="23">
        <v>45098</v>
      </c>
      <c r="H1208" s="24" t="s">
        <v>3609</v>
      </c>
      <c r="J1208" s="28" t="s">
        <v>51</v>
      </c>
      <c r="L1208" s="24" t="s">
        <v>3610</v>
      </c>
      <c r="M1208" s="1" t="str">
        <f>"132530198207201516"</f>
        <v>132530198207201516</v>
      </c>
      <c r="N1208" s="24" t="s">
        <v>3610</v>
      </c>
      <c r="O1208" s="1" t="str">
        <f>"132530198207201516"</f>
        <v>132530198207201516</v>
      </c>
      <c r="P1208" s="23" t="s">
        <v>3611</v>
      </c>
      <c r="Q1208" s="23">
        <v>45099</v>
      </c>
      <c r="R1208" s="32">
        <v>45465</v>
      </c>
      <c r="V1208" s="33">
        <v>200</v>
      </c>
      <c r="W1208" s="28">
        <v>64.29</v>
      </c>
      <c r="X1208" s="34" t="s">
        <v>54</v>
      </c>
      <c r="Y1208" s="33">
        <v>128.58</v>
      </c>
      <c r="AC1208" s="28">
        <v>64.29</v>
      </c>
      <c r="AD1208" s="34" t="s">
        <v>54</v>
      </c>
      <c r="AE1208" s="33">
        <v>128.58</v>
      </c>
      <c r="AN1208" s="7" t="s">
        <v>54</v>
      </c>
      <c r="AO1208" s="7" t="s">
        <v>55</v>
      </c>
      <c r="AP1208" s="7" t="s">
        <v>56</v>
      </c>
      <c r="AT1208" s="47" t="s">
        <v>57</v>
      </c>
      <c r="AU1208" s="47" t="s">
        <v>57</v>
      </c>
    </row>
    <row r="1209" spans="1:47">
      <c r="A1209" s="4" t="s">
        <v>48</v>
      </c>
      <c r="C1209" s="21"/>
      <c r="D1209" s="22" t="s">
        <v>49</v>
      </c>
      <c r="G1209" s="23">
        <v>45096</v>
      </c>
      <c r="H1209" s="24" t="s">
        <v>3612</v>
      </c>
      <c r="J1209" s="28" t="s">
        <v>51</v>
      </c>
      <c r="L1209" s="24" t="s">
        <v>3613</v>
      </c>
      <c r="M1209" s="1" t="str">
        <f>"130106198403224527"</f>
        <v>130106198403224527</v>
      </c>
      <c r="N1209" s="24" t="s">
        <v>3613</v>
      </c>
      <c r="O1209" s="1" t="str">
        <f>"130106198403224527"</f>
        <v>130106198403224527</v>
      </c>
      <c r="P1209" s="23" t="s">
        <v>3614</v>
      </c>
      <c r="Q1209" s="23">
        <v>45097</v>
      </c>
      <c r="R1209" s="32">
        <v>45463</v>
      </c>
      <c r="V1209" s="33">
        <v>200</v>
      </c>
      <c r="W1209" s="28">
        <v>64.29</v>
      </c>
      <c r="X1209" s="34" t="s">
        <v>54</v>
      </c>
      <c r="Y1209" s="33">
        <v>128.58</v>
      </c>
      <c r="AC1209" s="28">
        <v>64.29</v>
      </c>
      <c r="AD1209" s="34" t="s">
        <v>54</v>
      </c>
      <c r="AE1209" s="33">
        <v>128.58</v>
      </c>
      <c r="AN1209" s="7" t="s">
        <v>54</v>
      </c>
      <c r="AO1209" s="7" t="s">
        <v>55</v>
      </c>
      <c r="AP1209" s="7" t="s">
        <v>56</v>
      </c>
      <c r="AT1209" s="47" t="s">
        <v>57</v>
      </c>
      <c r="AU1209" s="47" t="s">
        <v>57</v>
      </c>
    </row>
    <row r="1210" spans="1:47">
      <c r="A1210" s="4" t="s">
        <v>48</v>
      </c>
      <c r="C1210" s="21"/>
      <c r="D1210" s="22" t="s">
        <v>49</v>
      </c>
      <c r="G1210" s="23">
        <v>45096</v>
      </c>
      <c r="H1210" s="24" t="s">
        <v>3615</v>
      </c>
      <c r="J1210" s="28" t="s">
        <v>51</v>
      </c>
      <c r="L1210" s="24" t="s">
        <v>3616</v>
      </c>
      <c r="M1210" s="1" t="str">
        <f>"132821196912208271"</f>
        <v>132821196912208271</v>
      </c>
      <c r="N1210" s="24" t="s">
        <v>3616</v>
      </c>
      <c r="O1210" s="1" t="str">
        <f>"132821196912208271"</f>
        <v>132821196912208271</v>
      </c>
      <c r="P1210" s="23" t="s">
        <v>3617</v>
      </c>
      <c r="Q1210" s="23">
        <v>45097</v>
      </c>
      <c r="R1210" s="32">
        <v>45463</v>
      </c>
      <c r="V1210" s="33">
        <v>200</v>
      </c>
      <c r="W1210" s="28">
        <v>64.29</v>
      </c>
      <c r="X1210" s="34" t="s">
        <v>54</v>
      </c>
      <c r="Y1210" s="33">
        <v>128.58</v>
      </c>
      <c r="AC1210" s="28">
        <v>64.29</v>
      </c>
      <c r="AD1210" s="34" t="s">
        <v>54</v>
      </c>
      <c r="AE1210" s="33">
        <v>128.58</v>
      </c>
      <c r="AN1210" s="7" t="s">
        <v>54</v>
      </c>
      <c r="AO1210" s="7" t="s">
        <v>55</v>
      </c>
      <c r="AP1210" s="7" t="s">
        <v>56</v>
      </c>
      <c r="AT1210" s="47" t="s">
        <v>57</v>
      </c>
      <c r="AU1210" s="47" t="s">
        <v>57</v>
      </c>
    </row>
    <row r="1211" spans="1:47">
      <c r="A1211" s="4" t="s">
        <v>48</v>
      </c>
      <c r="C1211" s="21"/>
      <c r="D1211" s="22" t="s">
        <v>49</v>
      </c>
      <c r="G1211" s="23">
        <v>45098</v>
      </c>
      <c r="H1211" s="24" t="s">
        <v>3618</v>
      </c>
      <c r="J1211" s="28" t="s">
        <v>51</v>
      </c>
      <c r="L1211" s="24" t="s">
        <v>3619</v>
      </c>
      <c r="M1211" s="1" t="str">
        <f>"342101195509241312"</f>
        <v>342101195509241312</v>
      </c>
      <c r="N1211" s="24" t="s">
        <v>3619</v>
      </c>
      <c r="O1211" s="1" t="str">
        <f>"342101195509241312"</f>
        <v>342101195509241312</v>
      </c>
      <c r="P1211" s="23" t="s">
        <v>3620</v>
      </c>
      <c r="Q1211" s="23">
        <v>45099</v>
      </c>
      <c r="R1211" s="32">
        <v>45465</v>
      </c>
      <c r="V1211" s="33">
        <v>200</v>
      </c>
      <c r="W1211" s="28">
        <v>64.29</v>
      </c>
      <c r="X1211" s="34" t="s">
        <v>54</v>
      </c>
      <c r="Y1211" s="33">
        <v>128.58</v>
      </c>
      <c r="AC1211" s="28">
        <v>64.29</v>
      </c>
      <c r="AD1211" s="34" t="s">
        <v>54</v>
      </c>
      <c r="AE1211" s="33">
        <v>128.58</v>
      </c>
      <c r="AN1211" s="7" t="s">
        <v>54</v>
      </c>
      <c r="AO1211" s="7" t="s">
        <v>55</v>
      </c>
      <c r="AP1211" s="7" t="s">
        <v>56</v>
      </c>
      <c r="AT1211" s="47" t="s">
        <v>57</v>
      </c>
      <c r="AU1211" s="47" t="s">
        <v>57</v>
      </c>
    </row>
    <row r="1212" spans="1:47">
      <c r="A1212" s="4" t="s">
        <v>48</v>
      </c>
      <c r="C1212" s="21"/>
      <c r="D1212" s="22" t="s">
        <v>49</v>
      </c>
      <c r="G1212" s="23">
        <v>45093</v>
      </c>
      <c r="H1212" s="24" t="s">
        <v>3621</v>
      </c>
      <c r="J1212" s="28" t="s">
        <v>51</v>
      </c>
      <c r="L1212" s="24" t="s">
        <v>3622</v>
      </c>
      <c r="M1212" s="1" t="str">
        <f>"341221198004012024"</f>
        <v>341221198004012024</v>
      </c>
      <c r="N1212" s="24" t="s">
        <v>3622</v>
      </c>
      <c r="O1212" s="1" t="str">
        <f>"341221198004012024"</f>
        <v>341221198004012024</v>
      </c>
      <c r="P1212" s="23" t="s">
        <v>3623</v>
      </c>
      <c r="Q1212" s="23">
        <v>45094</v>
      </c>
      <c r="R1212" s="32">
        <v>45460</v>
      </c>
      <c r="V1212" s="33">
        <v>200</v>
      </c>
      <c r="W1212" s="28">
        <v>64.29</v>
      </c>
      <c r="X1212" s="34" t="s">
        <v>54</v>
      </c>
      <c r="Y1212" s="33">
        <v>128.58</v>
      </c>
      <c r="AC1212" s="28">
        <v>64.29</v>
      </c>
      <c r="AD1212" s="34" t="s">
        <v>54</v>
      </c>
      <c r="AE1212" s="33">
        <v>128.58</v>
      </c>
      <c r="AN1212" s="7" t="s">
        <v>54</v>
      </c>
      <c r="AO1212" s="7" t="s">
        <v>55</v>
      </c>
      <c r="AP1212" s="7" t="s">
        <v>56</v>
      </c>
      <c r="AT1212" s="47" t="s">
        <v>57</v>
      </c>
      <c r="AU1212" s="47" t="s">
        <v>57</v>
      </c>
    </row>
    <row r="1213" spans="1:47">
      <c r="A1213" s="4" t="s">
        <v>48</v>
      </c>
      <c r="C1213" s="21"/>
      <c r="D1213" s="22" t="s">
        <v>49</v>
      </c>
      <c r="G1213" s="23">
        <v>45079</v>
      </c>
      <c r="H1213" s="24" t="s">
        <v>3624</v>
      </c>
      <c r="J1213" s="28" t="s">
        <v>51</v>
      </c>
      <c r="L1213" s="24" t="s">
        <v>3625</v>
      </c>
      <c r="M1213" s="1" t="str">
        <f>"120222196707055229"</f>
        <v>120222196707055229</v>
      </c>
      <c r="N1213" s="24" t="s">
        <v>3625</v>
      </c>
      <c r="O1213" s="1" t="str">
        <f>"120222196707055229"</f>
        <v>120222196707055229</v>
      </c>
      <c r="P1213" s="23" t="s">
        <v>3626</v>
      </c>
      <c r="Q1213" s="23">
        <v>45080</v>
      </c>
      <c r="R1213" s="32">
        <v>45446</v>
      </c>
      <c r="V1213" s="33">
        <v>50</v>
      </c>
      <c r="W1213" s="28">
        <v>64.29</v>
      </c>
      <c r="X1213" s="34" t="s">
        <v>54</v>
      </c>
      <c r="Y1213" s="33">
        <v>32.15</v>
      </c>
      <c r="AC1213" s="28">
        <v>64.29</v>
      </c>
      <c r="AD1213" s="34" t="s">
        <v>54</v>
      </c>
      <c r="AE1213" s="33">
        <v>32.15</v>
      </c>
      <c r="AN1213" s="7" t="s">
        <v>54</v>
      </c>
      <c r="AO1213" s="7" t="s">
        <v>55</v>
      </c>
      <c r="AP1213" s="7" t="s">
        <v>56</v>
      </c>
      <c r="AT1213" s="47" t="s">
        <v>57</v>
      </c>
      <c r="AU1213" s="47" t="s">
        <v>57</v>
      </c>
    </row>
    <row r="1214" spans="1:47">
      <c r="A1214" s="4" t="s">
        <v>48</v>
      </c>
      <c r="C1214" s="21"/>
      <c r="D1214" s="22" t="s">
        <v>49</v>
      </c>
      <c r="G1214" s="23">
        <v>45093</v>
      </c>
      <c r="H1214" s="24" t="s">
        <v>3627</v>
      </c>
      <c r="J1214" s="28" t="s">
        <v>51</v>
      </c>
      <c r="L1214" s="24" t="s">
        <v>3628</v>
      </c>
      <c r="M1214" s="1" t="str">
        <f>"131082195202290286"</f>
        <v>131082195202290286</v>
      </c>
      <c r="N1214" s="24" t="s">
        <v>3628</v>
      </c>
      <c r="O1214" s="1" t="str">
        <f>"131082195202290286"</f>
        <v>131082195202290286</v>
      </c>
      <c r="P1214" s="23" t="s">
        <v>3629</v>
      </c>
      <c r="Q1214" s="23">
        <v>45230</v>
      </c>
      <c r="R1214" s="32">
        <v>45596</v>
      </c>
      <c r="V1214" s="33">
        <v>100</v>
      </c>
      <c r="W1214" s="28">
        <v>64.29</v>
      </c>
      <c r="X1214" s="34" t="s">
        <v>54</v>
      </c>
      <c r="Y1214" s="33">
        <v>64.29</v>
      </c>
      <c r="AC1214" s="28">
        <v>64.29</v>
      </c>
      <c r="AD1214" s="34" t="s">
        <v>54</v>
      </c>
      <c r="AE1214" s="33">
        <v>64.29</v>
      </c>
      <c r="AN1214" s="7" t="s">
        <v>54</v>
      </c>
      <c r="AO1214" s="7" t="s">
        <v>55</v>
      </c>
      <c r="AP1214" s="7" t="s">
        <v>56</v>
      </c>
      <c r="AT1214" s="47" t="s">
        <v>57</v>
      </c>
      <c r="AU1214" s="47" t="s">
        <v>57</v>
      </c>
    </row>
    <row r="1215" spans="1:47">
      <c r="A1215" s="4" t="s">
        <v>48</v>
      </c>
      <c r="C1215" s="21"/>
      <c r="D1215" s="22" t="s">
        <v>49</v>
      </c>
      <c r="G1215" s="23">
        <v>45093</v>
      </c>
      <c r="H1215" s="24" t="s">
        <v>3630</v>
      </c>
      <c r="J1215" s="28" t="s">
        <v>51</v>
      </c>
      <c r="L1215" s="24" t="s">
        <v>3631</v>
      </c>
      <c r="M1215" s="1" t="str">
        <f>"341204198807081246"</f>
        <v>341204198807081246</v>
      </c>
      <c r="N1215" s="24" t="s">
        <v>3631</v>
      </c>
      <c r="O1215" s="1" t="str">
        <f>"341204198807081246"</f>
        <v>341204198807081246</v>
      </c>
      <c r="P1215" s="23" t="s">
        <v>3632</v>
      </c>
      <c r="Q1215" s="23">
        <v>45155</v>
      </c>
      <c r="R1215" s="32">
        <v>45521</v>
      </c>
      <c r="V1215" s="33">
        <v>100</v>
      </c>
      <c r="W1215" s="28">
        <v>64.29</v>
      </c>
      <c r="X1215" s="34" t="s">
        <v>54</v>
      </c>
      <c r="Y1215" s="33">
        <v>64.29</v>
      </c>
      <c r="AC1215" s="28">
        <v>64.29</v>
      </c>
      <c r="AD1215" s="34" t="s">
        <v>54</v>
      </c>
      <c r="AE1215" s="33">
        <v>64.29</v>
      </c>
      <c r="AN1215" s="7" t="s">
        <v>54</v>
      </c>
      <c r="AO1215" s="7" t="s">
        <v>55</v>
      </c>
      <c r="AP1215" s="7" t="s">
        <v>56</v>
      </c>
      <c r="AT1215" s="47" t="s">
        <v>57</v>
      </c>
      <c r="AU1215" s="47" t="s">
        <v>57</v>
      </c>
    </row>
    <row r="1216" spans="1:47">
      <c r="A1216" s="4" t="s">
        <v>48</v>
      </c>
      <c r="C1216" s="21"/>
      <c r="D1216" s="22" t="s">
        <v>49</v>
      </c>
      <c r="G1216" s="23">
        <v>45093</v>
      </c>
      <c r="H1216" s="24" t="s">
        <v>3633</v>
      </c>
      <c r="J1216" s="28" t="s">
        <v>51</v>
      </c>
      <c r="L1216" s="24" t="s">
        <v>3634</v>
      </c>
      <c r="M1216" s="1" t="str">
        <f>"131082198410030028"</f>
        <v>131082198410030028</v>
      </c>
      <c r="N1216" s="24" t="s">
        <v>3634</v>
      </c>
      <c r="O1216" s="1" t="str">
        <f>"131082198410030028"</f>
        <v>131082198410030028</v>
      </c>
      <c r="P1216" s="23" t="s">
        <v>3635</v>
      </c>
      <c r="Q1216" s="23">
        <v>45277</v>
      </c>
      <c r="R1216" s="32">
        <v>45643</v>
      </c>
      <c r="V1216" s="33">
        <v>100</v>
      </c>
      <c r="W1216" s="28">
        <v>64.29</v>
      </c>
      <c r="X1216" s="34" t="s">
        <v>54</v>
      </c>
      <c r="Y1216" s="33">
        <v>64.29</v>
      </c>
      <c r="AC1216" s="28">
        <v>64.29</v>
      </c>
      <c r="AD1216" s="34" t="s">
        <v>54</v>
      </c>
      <c r="AE1216" s="33">
        <v>64.29</v>
      </c>
      <c r="AN1216" s="7" t="s">
        <v>54</v>
      </c>
      <c r="AO1216" s="7" t="s">
        <v>55</v>
      </c>
      <c r="AP1216" s="7" t="s">
        <v>56</v>
      </c>
      <c r="AT1216" s="47" t="s">
        <v>57</v>
      </c>
      <c r="AU1216" s="47" t="s">
        <v>57</v>
      </c>
    </row>
    <row r="1217" spans="1:47">
      <c r="A1217" s="4" t="s">
        <v>48</v>
      </c>
      <c r="C1217" s="21"/>
      <c r="D1217" s="22" t="s">
        <v>49</v>
      </c>
      <c r="G1217" s="23">
        <v>45093</v>
      </c>
      <c r="H1217" s="24" t="s">
        <v>3636</v>
      </c>
      <c r="J1217" s="28" t="s">
        <v>51</v>
      </c>
      <c r="L1217" s="24" t="s">
        <v>995</v>
      </c>
      <c r="M1217" s="1" t="str">
        <f>"130125198706057024"</f>
        <v>130125198706057024</v>
      </c>
      <c r="N1217" s="24" t="s">
        <v>995</v>
      </c>
      <c r="O1217" s="1" t="str">
        <f>"130125198706057024"</f>
        <v>130125198706057024</v>
      </c>
      <c r="P1217" s="23" t="s">
        <v>3637</v>
      </c>
      <c r="Q1217" s="23">
        <v>45094</v>
      </c>
      <c r="R1217" s="32">
        <v>45460</v>
      </c>
      <c r="V1217" s="33">
        <v>100</v>
      </c>
      <c r="W1217" s="28">
        <v>64.29</v>
      </c>
      <c r="X1217" s="34" t="s">
        <v>54</v>
      </c>
      <c r="Y1217" s="33">
        <v>64.29</v>
      </c>
      <c r="AC1217" s="28">
        <v>64.29</v>
      </c>
      <c r="AD1217" s="34" t="s">
        <v>54</v>
      </c>
      <c r="AE1217" s="33">
        <v>64.29</v>
      </c>
      <c r="AN1217" s="7" t="s">
        <v>54</v>
      </c>
      <c r="AO1217" s="7" t="s">
        <v>55</v>
      </c>
      <c r="AP1217" s="7" t="s">
        <v>56</v>
      </c>
      <c r="AT1217" s="47" t="s">
        <v>57</v>
      </c>
      <c r="AU1217" s="47" t="s">
        <v>57</v>
      </c>
    </row>
    <row r="1218" spans="1:47">
      <c r="A1218" s="4" t="s">
        <v>48</v>
      </c>
      <c r="C1218" s="21"/>
      <c r="D1218" s="22" t="s">
        <v>49</v>
      </c>
      <c r="G1218" s="23">
        <v>45093</v>
      </c>
      <c r="H1218" s="24" t="s">
        <v>3638</v>
      </c>
      <c r="J1218" s="28" t="s">
        <v>51</v>
      </c>
      <c r="L1218" s="24" t="s">
        <v>1690</v>
      </c>
      <c r="M1218" s="1" t="str">
        <f>"132821195707148279"</f>
        <v>132821195707148279</v>
      </c>
      <c r="N1218" s="24" t="s">
        <v>1690</v>
      </c>
      <c r="O1218" s="1" t="str">
        <f>"132821195707148279"</f>
        <v>132821195707148279</v>
      </c>
      <c r="P1218" s="23" t="s">
        <v>3639</v>
      </c>
      <c r="Q1218" s="23">
        <v>45094</v>
      </c>
      <c r="R1218" s="32">
        <v>45460</v>
      </c>
      <c r="V1218" s="33">
        <v>100</v>
      </c>
      <c r="W1218" s="28">
        <v>64.29</v>
      </c>
      <c r="X1218" s="34" t="s">
        <v>54</v>
      </c>
      <c r="Y1218" s="33">
        <v>64.29</v>
      </c>
      <c r="AC1218" s="28">
        <v>64.29</v>
      </c>
      <c r="AD1218" s="34" t="s">
        <v>54</v>
      </c>
      <c r="AE1218" s="33">
        <v>64.29</v>
      </c>
      <c r="AN1218" s="7" t="s">
        <v>54</v>
      </c>
      <c r="AO1218" s="7" t="s">
        <v>55</v>
      </c>
      <c r="AP1218" s="7" t="s">
        <v>56</v>
      </c>
      <c r="AT1218" s="47" t="s">
        <v>57</v>
      </c>
      <c r="AU1218" s="47" t="s">
        <v>57</v>
      </c>
    </row>
    <row r="1219" spans="1:47">
      <c r="A1219" s="4" t="s">
        <v>48</v>
      </c>
      <c r="C1219" s="21"/>
      <c r="D1219" s="22" t="s">
        <v>49</v>
      </c>
      <c r="G1219" s="23">
        <v>45093</v>
      </c>
      <c r="H1219" s="24" t="s">
        <v>3640</v>
      </c>
      <c r="J1219" s="28" t="s">
        <v>51</v>
      </c>
      <c r="L1219" s="24" t="s">
        <v>3641</v>
      </c>
      <c r="M1219" s="1" t="str">
        <f>"341203197606190015"</f>
        <v>341203197606190015</v>
      </c>
      <c r="N1219" s="24" t="s">
        <v>3641</v>
      </c>
      <c r="O1219" s="1" t="str">
        <f>"341203197606190015"</f>
        <v>341203197606190015</v>
      </c>
      <c r="P1219" s="23" t="s">
        <v>3642</v>
      </c>
      <c r="Q1219" s="23">
        <v>45277</v>
      </c>
      <c r="R1219" s="32">
        <v>45643</v>
      </c>
      <c r="V1219" s="33">
        <v>100</v>
      </c>
      <c r="W1219" s="28">
        <v>64.29</v>
      </c>
      <c r="X1219" s="34" t="s">
        <v>54</v>
      </c>
      <c r="Y1219" s="33">
        <v>64.29</v>
      </c>
      <c r="AC1219" s="28">
        <v>64.29</v>
      </c>
      <c r="AD1219" s="34" t="s">
        <v>54</v>
      </c>
      <c r="AE1219" s="33">
        <v>64.29</v>
      </c>
      <c r="AN1219" s="7" t="s">
        <v>54</v>
      </c>
      <c r="AO1219" s="7" t="s">
        <v>55</v>
      </c>
      <c r="AP1219" s="7" t="s">
        <v>56</v>
      </c>
      <c r="AT1219" s="47" t="s">
        <v>57</v>
      </c>
      <c r="AU1219" s="47" t="s">
        <v>57</v>
      </c>
    </row>
    <row r="1220" spans="1:47">
      <c r="A1220" s="4" t="s">
        <v>48</v>
      </c>
      <c r="C1220" s="21"/>
      <c r="D1220" s="22" t="s">
        <v>49</v>
      </c>
      <c r="G1220" s="23">
        <v>45093</v>
      </c>
      <c r="H1220" s="24" t="s">
        <v>3643</v>
      </c>
      <c r="J1220" s="28" t="s">
        <v>51</v>
      </c>
      <c r="L1220" s="24" t="s">
        <v>3644</v>
      </c>
      <c r="M1220" s="1" t="str">
        <f>"131082198612150263"</f>
        <v>131082198612150263</v>
      </c>
      <c r="N1220" s="24" t="s">
        <v>3644</v>
      </c>
      <c r="O1220" s="1" t="str">
        <f>"131082198612150263"</f>
        <v>131082198612150263</v>
      </c>
      <c r="P1220" s="23" t="s">
        <v>3629</v>
      </c>
      <c r="Q1220" s="23">
        <v>45094</v>
      </c>
      <c r="R1220" s="32">
        <v>45460</v>
      </c>
      <c r="V1220" s="33">
        <v>100</v>
      </c>
      <c r="W1220" s="28">
        <v>64.29</v>
      </c>
      <c r="X1220" s="34" t="s">
        <v>54</v>
      </c>
      <c r="Y1220" s="33">
        <v>64.29</v>
      </c>
      <c r="AC1220" s="28">
        <v>64.29</v>
      </c>
      <c r="AD1220" s="34" t="s">
        <v>54</v>
      </c>
      <c r="AE1220" s="33">
        <v>64.29</v>
      </c>
      <c r="AN1220" s="7" t="s">
        <v>54</v>
      </c>
      <c r="AO1220" s="7" t="s">
        <v>55</v>
      </c>
      <c r="AP1220" s="7" t="s">
        <v>56</v>
      </c>
      <c r="AT1220" s="47" t="s">
        <v>57</v>
      </c>
      <c r="AU1220" s="47" t="s">
        <v>57</v>
      </c>
    </row>
    <row r="1221" spans="1:47">
      <c r="A1221" s="4" t="s">
        <v>48</v>
      </c>
      <c r="C1221" s="21"/>
      <c r="D1221" s="22" t="s">
        <v>49</v>
      </c>
      <c r="G1221" s="23">
        <v>45082</v>
      </c>
      <c r="H1221" s="24" t="s">
        <v>3645</v>
      </c>
      <c r="J1221" s="28" t="s">
        <v>51</v>
      </c>
      <c r="L1221" s="24" t="s">
        <v>3646</v>
      </c>
      <c r="M1221" s="1" t="str">
        <f>"132821195809018272"</f>
        <v>132821195809018272</v>
      </c>
      <c r="N1221" s="24" t="s">
        <v>3646</v>
      </c>
      <c r="O1221" s="1" t="str">
        <f>"132821195809018272"</f>
        <v>132821195809018272</v>
      </c>
      <c r="P1221" s="23" t="s">
        <v>3647</v>
      </c>
      <c r="Q1221" s="23">
        <v>45083</v>
      </c>
      <c r="R1221" s="32">
        <v>45449</v>
      </c>
      <c r="V1221" s="33">
        <v>100</v>
      </c>
      <c r="W1221" s="28">
        <v>64.29</v>
      </c>
      <c r="X1221" s="34" t="s">
        <v>54</v>
      </c>
      <c r="Y1221" s="33">
        <v>64.29</v>
      </c>
      <c r="AC1221" s="28">
        <v>64.29</v>
      </c>
      <c r="AD1221" s="34" t="s">
        <v>54</v>
      </c>
      <c r="AE1221" s="33">
        <v>64.29</v>
      </c>
      <c r="AN1221" s="7" t="s">
        <v>54</v>
      </c>
      <c r="AO1221" s="7" t="s">
        <v>55</v>
      </c>
      <c r="AP1221" s="7" t="s">
        <v>56</v>
      </c>
      <c r="AT1221" s="47" t="s">
        <v>57</v>
      </c>
      <c r="AU1221" s="47" t="s">
        <v>57</v>
      </c>
    </row>
    <row r="1222" spans="1:47">
      <c r="A1222" s="4" t="s">
        <v>48</v>
      </c>
      <c r="C1222" s="21"/>
      <c r="D1222" s="22" t="s">
        <v>49</v>
      </c>
      <c r="G1222" s="23">
        <v>45084</v>
      </c>
      <c r="H1222" s="24" t="s">
        <v>3648</v>
      </c>
      <c r="J1222" s="28" t="s">
        <v>51</v>
      </c>
      <c r="L1222" s="24" t="s">
        <v>3649</v>
      </c>
      <c r="M1222" s="1" t="str">
        <f>"132821196309058272"</f>
        <v>132821196309058272</v>
      </c>
      <c r="N1222" s="24" t="s">
        <v>3649</v>
      </c>
      <c r="O1222" s="1" t="str">
        <f>"132821196309058272"</f>
        <v>132821196309058272</v>
      </c>
      <c r="P1222" s="23" t="s">
        <v>3650</v>
      </c>
      <c r="Q1222" s="23">
        <v>45207</v>
      </c>
      <c r="R1222" s="32">
        <v>45573</v>
      </c>
      <c r="V1222" s="33">
        <v>100</v>
      </c>
      <c r="W1222" s="28">
        <v>64.29</v>
      </c>
      <c r="X1222" s="34" t="s">
        <v>54</v>
      </c>
      <c r="Y1222" s="33">
        <v>64.29</v>
      </c>
      <c r="AC1222" s="28">
        <v>64.29</v>
      </c>
      <c r="AD1222" s="34" t="s">
        <v>54</v>
      </c>
      <c r="AE1222" s="33">
        <v>64.29</v>
      </c>
      <c r="AN1222" s="7" t="s">
        <v>54</v>
      </c>
      <c r="AO1222" s="7" t="s">
        <v>55</v>
      </c>
      <c r="AP1222" s="7" t="s">
        <v>56</v>
      </c>
      <c r="AT1222" s="47" t="s">
        <v>57</v>
      </c>
      <c r="AU1222" s="47" t="s">
        <v>57</v>
      </c>
    </row>
    <row r="1223" spans="1:47">
      <c r="A1223" s="4" t="s">
        <v>48</v>
      </c>
      <c r="C1223" s="21"/>
      <c r="D1223" s="22" t="s">
        <v>49</v>
      </c>
      <c r="G1223" s="23">
        <v>45083</v>
      </c>
      <c r="H1223" s="24" t="s">
        <v>3651</v>
      </c>
      <c r="J1223" s="28" t="s">
        <v>51</v>
      </c>
      <c r="L1223" s="24" t="s">
        <v>1141</v>
      </c>
      <c r="M1223" s="1" t="str">
        <f>"131082199206111511"</f>
        <v>131082199206111511</v>
      </c>
      <c r="N1223" s="24" t="s">
        <v>1141</v>
      </c>
      <c r="O1223" s="1" t="str">
        <f>"131082199206111511"</f>
        <v>131082199206111511</v>
      </c>
      <c r="P1223" s="23" t="s">
        <v>3652</v>
      </c>
      <c r="Q1223" s="23">
        <v>45084</v>
      </c>
      <c r="R1223" s="32">
        <v>45450</v>
      </c>
      <c r="V1223" s="33">
        <v>100</v>
      </c>
      <c r="W1223" s="28">
        <v>64.29</v>
      </c>
      <c r="X1223" s="34" t="s">
        <v>54</v>
      </c>
      <c r="Y1223" s="33">
        <v>64.29</v>
      </c>
      <c r="AC1223" s="28">
        <v>64.29</v>
      </c>
      <c r="AD1223" s="34" t="s">
        <v>54</v>
      </c>
      <c r="AE1223" s="33">
        <v>64.29</v>
      </c>
      <c r="AN1223" s="7" t="s">
        <v>54</v>
      </c>
      <c r="AO1223" s="7" t="s">
        <v>55</v>
      </c>
      <c r="AP1223" s="7" t="s">
        <v>56</v>
      </c>
      <c r="AT1223" s="47" t="s">
        <v>57</v>
      </c>
      <c r="AU1223" s="47" t="s">
        <v>57</v>
      </c>
    </row>
    <row r="1224" spans="1:47">
      <c r="A1224" s="4" t="s">
        <v>48</v>
      </c>
      <c r="C1224" s="21"/>
      <c r="D1224" s="22" t="s">
        <v>49</v>
      </c>
      <c r="G1224" s="23">
        <v>45084</v>
      </c>
      <c r="H1224" s="24" t="s">
        <v>3653</v>
      </c>
      <c r="J1224" s="28" t="s">
        <v>51</v>
      </c>
      <c r="L1224" s="24" t="s">
        <v>3654</v>
      </c>
      <c r="M1224" s="1" t="str">
        <f>"132821195702172536"</f>
        <v>132821195702172536</v>
      </c>
      <c r="N1224" s="24" t="s">
        <v>3654</v>
      </c>
      <c r="O1224" s="1" t="str">
        <f>"132821195702172536"</f>
        <v>132821195702172536</v>
      </c>
      <c r="P1224" s="23" t="s">
        <v>3655</v>
      </c>
      <c r="Q1224" s="23">
        <v>45085</v>
      </c>
      <c r="R1224" s="32">
        <v>45451</v>
      </c>
      <c r="V1224" s="33">
        <v>100</v>
      </c>
      <c r="W1224" s="28">
        <v>64.29</v>
      </c>
      <c r="X1224" s="34" t="s">
        <v>54</v>
      </c>
      <c r="Y1224" s="33">
        <v>64.29</v>
      </c>
      <c r="AC1224" s="28">
        <v>64.29</v>
      </c>
      <c r="AD1224" s="34" t="s">
        <v>54</v>
      </c>
      <c r="AE1224" s="33">
        <v>64.29</v>
      </c>
      <c r="AN1224" s="7" t="s">
        <v>54</v>
      </c>
      <c r="AO1224" s="7" t="s">
        <v>55</v>
      </c>
      <c r="AP1224" s="7" t="s">
        <v>56</v>
      </c>
      <c r="AT1224" s="47" t="s">
        <v>57</v>
      </c>
      <c r="AU1224" s="47" t="s">
        <v>57</v>
      </c>
    </row>
    <row r="1225" spans="1:47">
      <c r="A1225" s="4" t="s">
        <v>48</v>
      </c>
      <c r="C1225" s="21"/>
      <c r="D1225" s="22" t="s">
        <v>49</v>
      </c>
      <c r="G1225" s="23">
        <v>45084</v>
      </c>
      <c r="H1225" s="24" t="s">
        <v>3656</v>
      </c>
      <c r="J1225" s="28" t="s">
        <v>51</v>
      </c>
      <c r="L1225" s="24" t="s">
        <v>3657</v>
      </c>
      <c r="M1225" s="1" t="str">
        <f>"131082198411211031"</f>
        <v>131082198411211031</v>
      </c>
      <c r="N1225" s="24" t="s">
        <v>3657</v>
      </c>
      <c r="O1225" s="1" t="str">
        <f>"131082198411211031"</f>
        <v>131082198411211031</v>
      </c>
      <c r="P1225" s="23" t="s">
        <v>3658</v>
      </c>
      <c r="Q1225" s="23">
        <v>45085</v>
      </c>
      <c r="R1225" s="32">
        <v>45451</v>
      </c>
      <c r="V1225" s="33">
        <v>100</v>
      </c>
      <c r="W1225" s="28">
        <v>64.29</v>
      </c>
      <c r="X1225" s="34" t="s">
        <v>54</v>
      </c>
      <c r="Y1225" s="33">
        <v>64.29</v>
      </c>
      <c r="AC1225" s="28">
        <v>64.29</v>
      </c>
      <c r="AD1225" s="34" t="s">
        <v>54</v>
      </c>
      <c r="AE1225" s="33">
        <v>64.29</v>
      </c>
      <c r="AN1225" s="7" t="s">
        <v>54</v>
      </c>
      <c r="AO1225" s="7" t="s">
        <v>55</v>
      </c>
      <c r="AP1225" s="7" t="s">
        <v>56</v>
      </c>
      <c r="AT1225" s="47" t="s">
        <v>57</v>
      </c>
      <c r="AU1225" s="47" t="s">
        <v>57</v>
      </c>
    </row>
    <row r="1226" spans="1:47">
      <c r="A1226" s="4" t="s">
        <v>48</v>
      </c>
      <c r="C1226" s="21"/>
      <c r="D1226" s="22" t="s">
        <v>49</v>
      </c>
      <c r="G1226" s="23">
        <v>45093</v>
      </c>
      <c r="H1226" s="24" t="s">
        <v>3659</v>
      </c>
      <c r="J1226" s="28" t="s">
        <v>51</v>
      </c>
      <c r="L1226" s="24" t="s">
        <v>3660</v>
      </c>
      <c r="M1226" s="1" t="str">
        <f>"34120219890710174X"</f>
        <v>34120219890710174X</v>
      </c>
      <c r="N1226" s="24" t="s">
        <v>3660</v>
      </c>
      <c r="O1226" s="1" t="str">
        <f>"34120219890710174X"</f>
        <v>34120219890710174X</v>
      </c>
      <c r="P1226" s="23" t="s">
        <v>3661</v>
      </c>
      <c r="Q1226" s="23">
        <v>45094</v>
      </c>
      <c r="R1226" s="32">
        <v>45460</v>
      </c>
      <c r="V1226" s="33">
        <v>200</v>
      </c>
      <c r="W1226" s="28">
        <v>64.29</v>
      </c>
      <c r="X1226" s="34" t="s">
        <v>54</v>
      </c>
      <c r="Y1226" s="33">
        <v>128.58</v>
      </c>
      <c r="AC1226" s="28">
        <v>64.29</v>
      </c>
      <c r="AD1226" s="34" t="s">
        <v>54</v>
      </c>
      <c r="AE1226" s="33">
        <v>128.58</v>
      </c>
      <c r="AN1226" s="7" t="s">
        <v>54</v>
      </c>
      <c r="AO1226" s="7" t="s">
        <v>55</v>
      </c>
      <c r="AP1226" s="7" t="s">
        <v>56</v>
      </c>
      <c r="AT1226" s="47" t="s">
        <v>57</v>
      </c>
      <c r="AU1226" s="47" t="s">
        <v>57</v>
      </c>
    </row>
    <row r="1227" spans="1:47">
      <c r="A1227" s="4" t="s">
        <v>48</v>
      </c>
      <c r="C1227" s="21"/>
      <c r="D1227" s="22" t="s">
        <v>49</v>
      </c>
      <c r="G1227" s="23">
        <v>45094</v>
      </c>
      <c r="H1227" s="24" t="s">
        <v>3662</v>
      </c>
      <c r="J1227" s="28" t="s">
        <v>51</v>
      </c>
      <c r="L1227" s="24" t="s">
        <v>3663</v>
      </c>
      <c r="M1227" s="1" t="str">
        <f>"130731199109290017"</f>
        <v>130731199109290017</v>
      </c>
      <c r="N1227" s="24" t="s">
        <v>3663</v>
      </c>
      <c r="O1227" s="1" t="str">
        <f>"130731199109290017"</f>
        <v>130731199109290017</v>
      </c>
      <c r="P1227" s="23" t="s">
        <v>3664</v>
      </c>
      <c r="Q1227" s="23">
        <v>45095</v>
      </c>
      <c r="R1227" s="32">
        <v>45461</v>
      </c>
      <c r="V1227" s="33">
        <v>200</v>
      </c>
      <c r="W1227" s="28">
        <v>64.29</v>
      </c>
      <c r="X1227" s="34" t="s">
        <v>54</v>
      </c>
      <c r="Y1227" s="33">
        <v>128.58</v>
      </c>
      <c r="AC1227" s="28">
        <v>64.29</v>
      </c>
      <c r="AD1227" s="34" t="s">
        <v>54</v>
      </c>
      <c r="AE1227" s="33">
        <v>128.58</v>
      </c>
      <c r="AN1227" s="7" t="s">
        <v>54</v>
      </c>
      <c r="AO1227" s="7" t="s">
        <v>55</v>
      </c>
      <c r="AP1227" s="7" t="s">
        <v>56</v>
      </c>
      <c r="AT1227" s="47" t="s">
        <v>57</v>
      </c>
      <c r="AU1227" s="47" t="s">
        <v>57</v>
      </c>
    </row>
    <row r="1228" spans="1:47">
      <c r="A1228" s="4" t="s">
        <v>48</v>
      </c>
      <c r="C1228" s="21"/>
      <c r="D1228" s="22" t="s">
        <v>49</v>
      </c>
      <c r="G1228" s="23">
        <v>45093</v>
      </c>
      <c r="H1228" s="24" t="s">
        <v>3665</v>
      </c>
      <c r="J1228" s="28" t="s">
        <v>51</v>
      </c>
      <c r="L1228" s="24" t="s">
        <v>3666</v>
      </c>
      <c r="M1228" s="1" t="str">
        <f>"13108219650221831X"</f>
        <v>13108219650221831X</v>
      </c>
      <c r="N1228" s="24" t="s">
        <v>3666</v>
      </c>
      <c r="O1228" s="1" t="str">
        <f>"13108219650221831X"</f>
        <v>13108219650221831X</v>
      </c>
      <c r="P1228" s="23" t="s">
        <v>3667</v>
      </c>
      <c r="Q1228" s="23">
        <v>45094</v>
      </c>
      <c r="R1228" s="32">
        <v>45460</v>
      </c>
      <c r="V1228" s="33">
        <v>200</v>
      </c>
      <c r="W1228" s="28">
        <v>64.29</v>
      </c>
      <c r="X1228" s="34" t="s">
        <v>54</v>
      </c>
      <c r="Y1228" s="33">
        <v>128.58</v>
      </c>
      <c r="AC1228" s="28">
        <v>64.29</v>
      </c>
      <c r="AD1228" s="34" t="s">
        <v>54</v>
      </c>
      <c r="AE1228" s="33">
        <v>128.58</v>
      </c>
      <c r="AN1228" s="7" t="s">
        <v>54</v>
      </c>
      <c r="AO1228" s="7" t="s">
        <v>55</v>
      </c>
      <c r="AP1228" s="7" t="s">
        <v>56</v>
      </c>
      <c r="AT1228" s="47" t="s">
        <v>57</v>
      </c>
      <c r="AU1228" s="47" t="s">
        <v>57</v>
      </c>
    </row>
    <row r="1229" spans="1:47">
      <c r="A1229" s="4" t="s">
        <v>48</v>
      </c>
      <c r="C1229" s="21"/>
      <c r="D1229" s="22" t="s">
        <v>49</v>
      </c>
      <c r="G1229" s="23">
        <v>45079</v>
      </c>
      <c r="H1229" s="24" t="s">
        <v>3668</v>
      </c>
      <c r="J1229" s="28" t="s">
        <v>51</v>
      </c>
      <c r="L1229" s="24" t="s">
        <v>3669</v>
      </c>
      <c r="M1229" s="1" t="str">
        <f>"110105195606041815"</f>
        <v>110105195606041815</v>
      </c>
      <c r="N1229" s="24" t="s">
        <v>3669</v>
      </c>
      <c r="O1229" s="1" t="str">
        <f>"110105195606041815"</f>
        <v>110105195606041815</v>
      </c>
      <c r="P1229" s="23" t="s">
        <v>3670</v>
      </c>
      <c r="Q1229" s="23">
        <v>45080</v>
      </c>
      <c r="R1229" s="32">
        <v>45446</v>
      </c>
      <c r="V1229" s="33">
        <v>50</v>
      </c>
      <c r="W1229" s="28">
        <v>64.29</v>
      </c>
      <c r="X1229" s="34" t="s">
        <v>54</v>
      </c>
      <c r="Y1229" s="33">
        <v>32.15</v>
      </c>
      <c r="AC1229" s="28">
        <v>64.29</v>
      </c>
      <c r="AD1229" s="34" t="s">
        <v>54</v>
      </c>
      <c r="AE1229" s="33">
        <v>32.15</v>
      </c>
      <c r="AN1229" s="7" t="s">
        <v>54</v>
      </c>
      <c r="AO1229" s="7" t="s">
        <v>55</v>
      </c>
      <c r="AP1229" s="7" t="s">
        <v>56</v>
      </c>
      <c r="AT1229" s="47" t="s">
        <v>57</v>
      </c>
      <c r="AU1229" s="47" t="s">
        <v>57</v>
      </c>
    </row>
    <row r="1230" spans="1:47">
      <c r="A1230" s="4" t="s">
        <v>48</v>
      </c>
      <c r="C1230" s="21"/>
      <c r="D1230" s="22" t="s">
        <v>49</v>
      </c>
      <c r="G1230" s="23">
        <v>45082</v>
      </c>
      <c r="H1230" s="24" t="s">
        <v>3671</v>
      </c>
      <c r="J1230" s="28" t="s">
        <v>51</v>
      </c>
      <c r="L1230" s="24" t="s">
        <v>3672</v>
      </c>
      <c r="M1230" s="1" t="str">
        <f>"341221199310011542"</f>
        <v>341221199310011542</v>
      </c>
      <c r="N1230" s="24" t="s">
        <v>3672</v>
      </c>
      <c r="O1230" s="1" t="str">
        <f>"341221199310011542"</f>
        <v>341221199310011542</v>
      </c>
      <c r="P1230" s="23" t="s">
        <v>3673</v>
      </c>
      <c r="Q1230" s="23">
        <v>45083</v>
      </c>
      <c r="R1230" s="32">
        <v>45449</v>
      </c>
      <c r="V1230" s="33">
        <v>50</v>
      </c>
      <c r="W1230" s="28">
        <v>64.29</v>
      </c>
      <c r="X1230" s="34" t="s">
        <v>54</v>
      </c>
      <c r="Y1230" s="33">
        <v>32.15</v>
      </c>
      <c r="AC1230" s="28">
        <v>64.29</v>
      </c>
      <c r="AD1230" s="34" t="s">
        <v>54</v>
      </c>
      <c r="AE1230" s="33">
        <v>32.15</v>
      </c>
      <c r="AN1230" s="7" t="s">
        <v>54</v>
      </c>
      <c r="AO1230" s="7" t="s">
        <v>55</v>
      </c>
      <c r="AP1230" s="7" t="s">
        <v>56</v>
      </c>
      <c r="AT1230" s="47" t="s">
        <v>57</v>
      </c>
      <c r="AU1230" s="47" t="s">
        <v>57</v>
      </c>
    </row>
    <row r="1231" spans="1:47">
      <c r="A1231" s="4" t="s">
        <v>48</v>
      </c>
      <c r="C1231" s="21"/>
      <c r="D1231" s="22" t="s">
        <v>49</v>
      </c>
      <c r="G1231" s="23">
        <v>45079</v>
      </c>
      <c r="H1231" s="24" t="s">
        <v>3674</v>
      </c>
      <c r="J1231" s="28" t="s">
        <v>51</v>
      </c>
      <c r="L1231" s="24" t="s">
        <v>3675</v>
      </c>
      <c r="M1231" s="1" t="str">
        <f>"211421199703233818"</f>
        <v>211421199703233818</v>
      </c>
      <c r="N1231" s="24" t="s">
        <v>3675</v>
      </c>
      <c r="O1231" s="1" t="str">
        <f>"211421199703233818"</f>
        <v>211421199703233818</v>
      </c>
      <c r="P1231" s="23" t="s">
        <v>3676</v>
      </c>
      <c r="Q1231" s="23">
        <v>45080</v>
      </c>
      <c r="R1231" s="32">
        <v>45446</v>
      </c>
      <c r="V1231" s="33">
        <v>50</v>
      </c>
      <c r="W1231" s="28">
        <v>64.29</v>
      </c>
      <c r="X1231" s="34" t="s">
        <v>54</v>
      </c>
      <c r="Y1231" s="33">
        <v>32.15</v>
      </c>
      <c r="AC1231" s="28">
        <v>64.29</v>
      </c>
      <c r="AD1231" s="34" t="s">
        <v>54</v>
      </c>
      <c r="AE1231" s="33">
        <v>32.15</v>
      </c>
      <c r="AN1231" s="7" t="s">
        <v>54</v>
      </c>
      <c r="AO1231" s="7" t="s">
        <v>55</v>
      </c>
      <c r="AP1231" s="7" t="s">
        <v>56</v>
      </c>
      <c r="AT1231" s="47" t="s">
        <v>57</v>
      </c>
      <c r="AU1231" s="47" t="s">
        <v>57</v>
      </c>
    </row>
    <row r="1232" spans="1:47">
      <c r="A1232" s="4" t="s">
        <v>48</v>
      </c>
      <c r="C1232" s="21"/>
      <c r="D1232" s="22" t="s">
        <v>49</v>
      </c>
      <c r="G1232" s="23">
        <v>45079</v>
      </c>
      <c r="H1232" s="24" t="s">
        <v>3677</v>
      </c>
      <c r="J1232" s="28" t="s">
        <v>51</v>
      </c>
      <c r="L1232" s="24" t="s">
        <v>3678</v>
      </c>
      <c r="M1232" s="1" t="str">
        <f>"131082198710220261"</f>
        <v>131082198710220261</v>
      </c>
      <c r="N1232" s="24" t="s">
        <v>3678</v>
      </c>
      <c r="O1232" s="1" t="str">
        <f>"131082198710220261"</f>
        <v>131082198710220261</v>
      </c>
      <c r="P1232" s="23" t="s">
        <v>3679</v>
      </c>
      <c r="Q1232" s="23">
        <v>45080</v>
      </c>
      <c r="R1232" s="32">
        <v>45446</v>
      </c>
      <c r="V1232" s="33">
        <v>50</v>
      </c>
      <c r="W1232" s="28">
        <v>64.29</v>
      </c>
      <c r="X1232" s="34" t="s">
        <v>54</v>
      </c>
      <c r="Y1232" s="33">
        <v>32.15</v>
      </c>
      <c r="AC1232" s="28">
        <v>64.29</v>
      </c>
      <c r="AD1232" s="34" t="s">
        <v>54</v>
      </c>
      <c r="AE1232" s="33">
        <v>32.15</v>
      </c>
      <c r="AN1232" s="7" t="s">
        <v>54</v>
      </c>
      <c r="AO1232" s="7" t="s">
        <v>55</v>
      </c>
      <c r="AP1232" s="7" t="s">
        <v>56</v>
      </c>
      <c r="AT1232" s="47" t="s">
        <v>57</v>
      </c>
      <c r="AU1232" s="47" t="s">
        <v>57</v>
      </c>
    </row>
    <row r="1233" spans="1:47">
      <c r="A1233" s="4" t="s">
        <v>48</v>
      </c>
      <c r="C1233" s="21"/>
      <c r="D1233" s="22" t="s">
        <v>49</v>
      </c>
      <c r="G1233" s="23">
        <v>45079</v>
      </c>
      <c r="H1233" s="24" t="s">
        <v>3680</v>
      </c>
      <c r="J1233" s="28" t="s">
        <v>51</v>
      </c>
      <c r="L1233" s="24" t="s">
        <v>3681</v>
      </c>
      <c r="M1233" s="1" t="str">
        <f>"131082199405157125"</f>
        <v>131082199405157125</v>
      </c>
      <c r="N1233" s="24" t="s">
        <v>3681</v>
      </c>
      <c r="O1233" s="1" t="str">
        <f>"131082199405157125"</f>
        <v>131082199405157125</v>
      </c>
      <c r="P1233" s="23" t="s">
        <v>3682</v>
      </c>
      <c r="Q1233" s="23">
        <v>45080</v>
      </c>
      <c r="R1233" s="32">
        <v>45446</v>
      </c>
      <c r="V1233" s="33">
        <v>50</v>
      </c>
      <c r="W1233" s="28">
        <v>64.29</v>
      </c>
      <c r="X1233" s="34" t="s">
        <v>54</v>
      </c>
      <c r="Y1233" s="33">
        <v>32.15</v>
      </c>
      <c r="AC1233" s="28">
        <v>64.29</v>
      </c>
      <c r="AD1233" s="34" t="s">
        <v>54</v>
      </c>
      <c r="AE1233" s="33">
        <v>32.15</v>
      </c>
      <c r="AN1233" s="7" t="s">
        <v>54</v>
      </c>
      <c r="AO1233" s="7" t="s">
        <v>55</v>
      </c>
      <c r="AP1233" s="7" t="s">
        <v>56</v>
      </c>
      <c r="AT1233" s="47" t="s">
        <v>57</v>
      </c>
      <c r="AU1233" s="47" t="s">
        <v>57</v>
      </c>
    </row>
    <row r="1234" spans="1:47">
      <c r="A1234" s="4" t="s">
        <v>48</v>
      </c>
      <c r="C1234" s="21"/>
      <c r="D1234" s="22" t="s">
        <v>49</v>
      </c>
      <c r="G1234" s="23">
        <v>45078</v>
      </c>
      <c r="H1234" s="24" t="s">
        <v>3683</v>
      </c>
      <c r="J1234" s="28" t="s">
        <v>51</v>
      </c>
      <c r="L1234" s="24" t="s">
        <v>3684</v>
      </c>
      <c r="M1234" s="1" t="str">
        <f>"120222197202061820"</f>
        <v>120222197202061820</v>
      </c>
      <c r="N1234" s="24" t="s">
        <v>3684</v>
      </c>
      <c r="O1234" s="1" t="str">
        <f>"120222197202061820"</f>
        <v>120222197202061820</v>
      </c>
      <c r="P1234" s="23" t="s">
        <v>3685</v>
      </c>
      <c r="Q1234" s="23">
        <v>45079</v>
      </c>
      <c r="R1234" s="32">
        <v>45445</v>
      </c>
      <c r="V1234" s="33">
        <v>50</v>
      </c>
      <c r="W1234" s="28">
        <v>64.29</v>
      </c>
      <c r="X1234" s="34" t="s">
        <v>54</v>
      </c>
      <c r="Y1234" s="33">
        <v>32.15</v>
      </c>
      <c r="AC1234" s="28">
        <v>64.29</v>
      </c>
      <c r="AD1234" s="34" t="s">
        <v>54</v>
      </c>
      <c r="AE1234" s="33">
        <v>32.15</v>
      </c>
      <c r="AN1234" s="7" t="s">
        <v>54</v>
      </c>
      <c r="AO1234" s="7" t="s">
        <v>55</v>
      </c>
      <c r="AP1234" s="7" t="s">
        <v>56</v>
      </c>
      <c r="AT1234" s="47" t="s">
        <v>57</v>
      </c>
      <c r="AU1234" s="47" t="s">
        <v>57</v>
      </c>
    </row>
    <row r="1235" spans="1:47">
      <c r="A1235" s="4" t="s">
        <v>48</v>
      </c>
      <c r="C1235" s="21"/>
      <c r="D1235" s="22" t="s">
        <v>49</v>
      </c>
      <c r="G1235" s="23">
        <v>45078</v>
      </c>
      <c r="H1235" s="24" t="s">
        <v>3686</v>
      </c>
      <c r="J1235" s="28" t="s">
        <v>51</v>
      </c>
      <c r="L1235" s="24" t="s">
        <v>3687</v>
      </c>
      <c r="M1235" s="1" t="str">
        <f>"15040419730721062X"</f>
        <v>15040419730721062X</v>
      </c>
      <c r="N1235" s="24" t="s">
        <v>3687</v>
      </c>
      <c r="O1235" s="1" t="str">
        <f>"15040419730721062X"</f>
        <v>15040419730721062X</v>
      </c>
      <c r="P1235" s="23" t="s">
        <v>3688</v>
      </c>
      <c r="Q1235" s="23">
        <v>45079</v>
      </c>
      <c r="R1235" s="32">
        <v>45445</v>
      </c>
      <c r="V1235" s="33">
        <v>50</v>
      </c>
      <c r="W1235" s="28">
        <v>64.29</v>
      </c>
      <c r="X1235" s="34" t="s">
        <v>54</v>
      </c>
      <c r="Y1235" s="33">
        <v>32.15</v>
      </c>
      <c r="AC1235" s="28">
        <v>64.29</v>
      </c>
      <c r="AD1235" s="34" t="s">
        <v>54</v>
      </c>
      <c r="AE1235" s="33">
        <v>32.15</v>
      </c>
      <c r="AN1235" s="7" t="s">
        <v>54</v>
      </c>
      <c r="AO1235" s="7" t="s">
        <v>55</v>
      </c>
      <c r="AP1235" s="7" t="s">
        <v>56</v>
      </c>
      <c r="AT1235" s="47" t="s">
        <v>57</v>
      </c>
      <c r="AU1235" s="47" t="s">
        <v>57</v>
      </c>
    </row>
    <row r="1236" spans="1:47">
      <c r="A1236" s="4" t="s">
        <v>48</v>
      </c>
      <c r="C1236" s="21"/>
      <c r="D1236" s="22" t="s">
        <v>49</v>
      </c>
      <c r="G1236" s="23">
        <v>45093</v>
      </c>
      <c r="H1236" s="24" t="s">
        <v>3689</v>
      </c>
      <c r="J1236" s="28" t="s">
        <v>51</v>
      </c>
      <c r="L1236" s="24" t="s">
        <v>3690</v>
      </c>
      <c r="M1236" s="1" t="str">
        <f>"132821195512258275"</f>
        <v>132821195512258275</v>
      </c>
      <c r="N1236" s="24" t="s">
        <v>3690</v>
      </c>
      <c r="O1236" s="1" t="str">
        <f>"132821195512258275"</f>
        <v>132821195512258275</v>
      </c>
      <c r="P1236" s="23" t="s">
        <v>3691</v>
      </c>
      <c r="Q1236" s="23">
        <v>45094</v>
      </c>
      <c r="R1236" s="32">
        <v>45460</v>
      </c>
      <c r="V1236" s="33">
        <v>100</v>
      </c>
      <c r="W1236" s="28">
        <v>64.29</v>
      </c>
      <c r="X1236" s="34" t="s">
        <v>54</v>
      </c>
      <c r="Y1236" s="33">
        <v>64.29</v>
      </c>
      <c r="AC1236" s="28">
        <v>64.29</v>
      </c>
      <c r="AD1236" s="34" t="s">
        <v>54</v>
      </c>
      <c r="AE1236" s="33">
        <v>64.29</v>
      </c>
      <c r="AN1236" s="7" t="s">
        <v>54</v>
      </c>
      <c r="AO1236" s="7" t="s">
        <v>55</v>
      </c>
      <c r="AP1236" s="7" t="s">
        <v>56</v>
      </c>
      <c r="AT1236" s="47" t="s">
        <v>57</v>
      </c>
      <c r="AU1236" s="47" t="s">
        <v>57</v>
      </c>
    </row>
    <row r="1237" spans="1:47">
      <c r="A1237" s="4" t="s">
        <v>48</v>
      </c>
      <c r="C1237" s="21"/>
      <c r="D1237" s="22" t="s">
        <v>49</v>
      </c>
      <c r="G1237" s="23">
        <v>45093</v>
      </c>
      <c r="H1237" s="24" t="s">
        <v>3692</v>
      </c>
      <c r="J1237" s="28" t="s">
        <v>51</v>
      </c>
      <c r="L1237" s="24" t="s">
        <v>3693</v>
      </c>
      <c r="M1237" s="1" t="str">
        <f>"110101195703244539"</f>
        <v>110101195703244539</v>
      </c>
      <c r="N1237" s="24" t="s">
        <v>3693</v>
      </c>
      <c r="O1237" s="1" t="str">
        <f>"110101195703244539"</f>
        <v>110101195703244539</v>
      </c>
      <c r="P1237" s="23" t="s">
        <v>3694</v>
      </c>
      <c r="Q1237" s="23">
        <v>45094</v>
      </c>
      <c r="R1237" s="32">
        <v>45460</v>
      </c>
      <c r="V1237" s="33">
        <v>100</v>
      </c>
      <c r="W1237" s="28">
        <v>64.29</v>
      </c>
      <c r="X1237" s="34" t="s">
        <v>54</v>
      </c>
      <c r="Y1237" s="33">
        <v>64.29</v>
      </c>
      <c r="AC1237" s="28">
        <v>64.29</v>
      </c>
      <c r="AD1237" s="34" t="s">
        <v>54</v>
      </c>
      <c r="AE1237" s="33">
        <v>64.29</v>
      </c>
      <c r="AN1237" s="7" t="s">
        <v>54</v>
      </c>
      <c r="AO1237" s="7" t="s">
        <v>55</v>
      </c>
      <c r="AP1237" s="7" t="s">
        <v>56</v>
      </c>
      <c r="AT1237" s="47" t="s">
        <v>57</v>
      </c>
      <c r="AU1237" s="47" t="s">
        <v>57</v>
      </c>
    </row>
    <row r="1238" spans="1:47">
      <c r="A1238" s="4" t="s">
        <v>48</v>
      </c>
      <c r="C1238" s="21"/>
      <c r="D1238" s="22" t="s">
        <v>49</v>
      </c>
      <c r="G1238" s="23">
        <v>45091</v>
      </c>
      <c r="H1238" s="24" t="s">
        <v>3695</v>
      </c>
      <c r="J1238" s="28" t="s">
        <v>51</v>
      </c>
      <c r="L1238" s="24" t="s">
        <v>3696</v>
      </c>
      <c r="M1238" s="1" t="str">
        <f>"130133199302071529"</f>
        <v>130133199302071529</v>
      </c>
      <c r="N1238" s="24" t="s">
        <v>3696</v>
      </c>
      <c r="O1238" s="1" t="str">
        <f>"130133199302071529"</f>
        <v>130133199302071529</v>
      </c>
      <c r="P1238" s="23" t="s">
        <v>3697</v>
      </c>
      <c r="Q1238" s="23">
        <v>45214</v>
      </c>
      <c r="R1238" s="32">
        <v>45580</v>
      </c>
      <c r="V1238" s="33">
        <v>100</v>
      </c>
      <c r="W1238" s="28">
        <v>64.29</v>
      </c>
      <c r="X1238" s="34" t="s">
        <v>54</v>
      </c>
      <c r="Y1238" s="33">
        <v>64.29</v>
      </c>
      <c r="AC1238" s="28">
        <v>64.29</v>
      </c>
      <c r="AD1238" s="34" t="s">
        <v>54</v>
      </c>
      <c r="AE1238" s="33">
        <v>64.29</v>
      </c>
      <c r="AN1238" s="7" t="s">
        <v>54</v>
      </c>
      <c r="AO1238" s="7" t="s">
        <v>55</v>
      </c>
      <c r="AP1238" s="7" t="s">
        <v>56</v>
      </c>
      <c r="AT1238" s="47" t="s">
        <v>57</v>
      </c>
      <c r="AU1238" s="47" t="s">
        <v>57</v>
      </c>
    </row>
    <row r="1239" spans="1:47">
      <c r="A1239" s="4" t="s">
        <v>48</v>
      </c>
      <c r="C1239" s="21"/>
      <c r="D1239" s="22" t="s">
        <v>49</v>
      </c>
      <c r="G1239" s="23">
        <v>45085</v>
      </c>
      <c r="H1239" s="24" t="s">
        <v>3698</v>
      </c>
      <c r="J1239" s="28" t="s">
        <v>51</v>
      </c>
      <c r="L1239" s="24" t="s">
        <v>3699</v>
      </c>
      <c r="M1239" s="1" t="str">
        <f>"131082199901010448"</f>
        <v>131082199901010448</v>
      </c>
      <c r="N1239" s="24" t="s">
        <v>3699</v>
      </c>
      <c r="O1239" s="1" t="str">
        <f>"131082199901010448"</f>
        <v>131082199901010448</v>
      </c>
      <c r="P1239" s="23" t="s">
        <v>3700</v>
      </c>
      <c r="Q1239" s="23">
        <v>45086</v>
      </c>
      <c r="R1239" s="32">
        <v>45452</v>
      </c>
      <c r="V1239" s="33">
        <v>100</v>
      </c>
      <c r="W1239" s="28">
        <v>64.29</v>
      </c>
      <c r="X1239" s="34" t="s">
        <v>54</v>
      </c>
      <c r="Y1239" s="33">
        <v>64.29</v>
      </c>
      <c r="AC1239" s="28">
        <v>64.29</v>
      </c>
      <c r="AD1239" s="34" t="s">
        <v>54</v>
      </c>
      <c r="AE1239" s="33">
        <v>64.29</v>
      </c>
      <c r="AN1239" s="7" t="s">
        <v>54</v>
      </c>
      <c r="AO1239" s="7" t="s">
        <v>55</v>
      </c>
      <c r="AP1239" s="7" t="s">
        <v>56</v>
      </c>
      <c r="AT1239" s="47" t="s">
        <v>57</v>
      </c>
      <c r="AU1239" s="47" t="s">
        <v>57</v>
      </c>
    </row>
    <row r="1240" spans="1:47">
      <c r="A1240" s="4" t="s">
        <v>48</v>
      </c>
      <c r="C1240" s="21"/>
      <c r="D1240" s="22" t="s">
        <v>49</v>
      </c>
      <c r="G1240" s="23">
        <v>45083</v>
      </c>
      <c r="H1240" s="24" t="s">
        <v>3701</v>
      </c>
      <c r="J1240" s="28" t="s">
        <v>51</v>
      </c>
      <c r="L1240" s="24" t="s">
        <v>3702</v>
      </c>
      <c r="M1240" s="1" t="str">
        <f>"132821195001198274"</f>
        <v>132821195001198274</v>
      </c>
      <c r="N1240" s="24" t="s">
        <v>3702</v>
      </c>
      <c r="O1240" s="1" t="str">
        <f>"132821195001198274"</f>
        <v>132821195001198274</v>
      </c>
      <c r="P1240" s="23" t="s">
        <v>3703</v>
      </c>
      <c r="Q1240" s="23">
        <v>45084</v>
      </c>
      <c r="R1240" s="32">
        <v>45450</v>
      </c>
      <c r="V1240" s="33">
        <v>100</v>
      </c>
      <c r="W1240" s="28">
        <v>64.29</v>
      </c>
      <c r="X1240" s="34" t="s">
        <v>54</v>
      </c>
      <c r="Y1240" s="33">
        <v>64.29</v>
      </c>
      <c r="AC1240" s="28">
        <v>64.29</v>
      </c>
      <c r="AD1240" s="34" t="s">
        <v>54</v>
      </c>
      <c r="AE1240" s="33">
        <v>64.29</v>
      </c>
      <c r="AN1240" s="7" t="s">
        <v>54</v>
      </c>
      <c r="AO1240" s="7" t="s">
        <v>55</v>
      </c>
      <c r="AP1240" s="7" t="s">
        <v>56</v>
      </c>
      <c r="AT1240" s="47" t="s">
        <v>57</v>
      </c>
      <c r="AU1240" s="47" t="s">
        <v>57</v>
      </c>
    </row>
    <row r="1241" spans="1:47">
      <c r="A1241" s="4" t="s">
        <v>48</v>
      </c>
      <c r="C1241" s="21"/>
      <c r="D1241" s="22" t="s">
        <v>49</v>
      </c>
      <c r="G1241" s="23">
        <v>45084</v>
      </c>
      <c r="H1241" s="24" t="s">
        <v>3704</v>
      </c>
      <c r="J1241" s="28" t="s">
        <v>51</v>
      </c>
      <c r="L1241" s="24" t="s">
        <v>3705</v>
      </c>
      <c r="M1241" s="1" t="str">
        <f>"412727198810262612"</f>
        <v>412727198810262612</v>
      </c>
      <c r="N1241" s="24" t="s">
        <v>3705</v>
      </c>
      <c r="O1241" s="1" t="str">
        <f>"412727198810262612"</f>
        <v>412727198810262612</v>
      </c>
      <c r="P1241" s="23" t="s">
        <v>3706</v>
      </c>
      <c r="Q1241" s="23">
        <v>45085</v>
      </c>
      <c r="R1241" s="32">
        <v>45451</v>
      </c>
      <c r="V1241" s="33">
        <v>100</v>
      </c>
      <c r="W1241" s="28">
        <v>64.29</v>
      </c>
      <c r="X1241" s="34" t="s">
        <v>54</v>
      </c>
      <c r="Y1241" s="33">
        <v>64.29</v>
      </c>
      <c r="AC1241" s="28">
        <v>64.29</v>
      </c>
      <c r="AD1241" s="34" t="s">
        <v>54</v>
      </c>
      <c r="AE1241" s="33">
        <v>64.29</v>
      </c>
      <c r="AN1241" s="7" t="s">
        <v>54</v>
      </c>
      <c r="AO1241" s="7" t="s">
        <v>55</v>
      </c>
      <c r="AP1241" s="7" t="s">
        <v>56</v>
      </c>
      <c r="AT1241" s="47" t="s">
        <v>57</v>
      </c>
      <c r="AU1241" s="47" t="s">
        <v>57</v>
      </c>
    </row>
    <row r="1242" spans="1:47">
      <c r="A1242" s="4" t="s">
        <v>48</v>
      </c>
      <c r="C1242" s="21"/>
      <c r="D1242" s="22" t="s">
        <v>49</v>
      </c>
      <c r="G1242" s="23">
        <v>45084</v>
      </c>
      <c r="H1242" s="24" t="s">
        <v>3707</v>
      </c>
      <c r="J1242" s="28" t="s">
        <v>51</v>
      </c>
      <c r="L1242" s="24" t="s">
        <v>3708</v>
      </c>
      <c r="M1242" s="1" t="str">
        <f>"132821196508108279"</f>
        <v>132821196508108279</v>
      </c>
      <c r="N1242" s="24" t="s">
        <v>3708</v>
      </c>
      <c r="O1242" s="1" t="str">
        <f>"132821196508108279"</f>
        <v>132821196508108279</v>
      </c>
      <c r="P1242" s="23" t="s">
        <v>3709</v>
      </c>
      <c r="Q1242" s="23">
        <v>45085</v>
      </c>
      <c r="R1242" s="32">
        <v>45451</v>
      </c>
      <c r="V1242" s="33">
        <v>100</v>
      </c>
      <c r="W1242" s="28">
        <v>64.29</v>
      </c>
      <c r="X1242" s="34" t="s">
        <v>54</v>
      </c>
      <c r="Y1242" s="33">
        <v>64.29</v>
      </c>
      <c r="AC1242" s="28">
        <v>64.29</v>
      </c>
      <c r="AD1242" s="34" t="s">
        <v>54</v>
      </c>
      <c r="AE1242" s="33">
        <v>64.29</v>
      </c>
      <c r="AN1242" s="7" t="s">
        <v>54</v>
      </c>
      <c r="AO1242" s="7" t="s">
        <v>55</v>
      </c>
      <c r="AP1242" s="7" t="s">
        <v>56</v>
      </c>
      <c r="AT1242" s="47" t="s">
        <v>57</v>
      </c>
      <c r="AU1242" s="47" t="s">
        <v>57</v>
      </c>
    </row>
    <row r="1243" spans="1:47">
      <c r="A1243" s="4" t="s">
        <v>48</v>
      </c>
      <c r="C1243" s="21"/>
      <c r="D1243" s="22" t="s">
        <v>49</v>
      </c>
      <c r="G1243" s="23">
        <v>45083</v>
      </c>
      <c r="H1243" s="24" t="s">
        <v>3710</v>
      </c>
      <c r="J1243" s="28" t="s">
        <v>51</v>
      </c>
      <c r="L1243" s="24" t="s">
        <v>2772</v>
      </c>
      <c r="M1243" s="1" t="str">
        <f>"131082199404265810"</f>
        <v>131082199404265810</v>
      </c>
      <c r="N1243" s="24" t="s">
        <v>2772</v>
      </c>
      <c r="O1243" s="1" t="str">
        <f>"131082199404265810"</f>
        <v>131082199404265810</v>
      </c>
      <c r="P1243" s="23" t="s">
        <v>3711</v>
      </c>
      <c r="Q1243" s="23">
        <v>45084</v>
      </c>
      <c r="R1243" s="32">
        <v>45450</v>
      </c>
      <c r="V1243" s="33">
        <v>100</v>
      </c>
      <c r="W1243" s="28">
        <v>64.29</v>
      </c>
      <c r="X1243" s="34" t="s">
        <v>54</v>
      </c>
      <c r="Y1243" s="33">
        <v>64.29</v>
      </c>
      <c r="AC1243" s="28">
        <v>64.29</v>
      </c>
      <c r="AD1243" s="34" t="s">
        <v>54</v>
      </c>
      <c r="AE1243" s="33">
        <v>64.29</v>
      </c>
      <c r="AN1243" s="7" t="s">
        <v>54</v>
      </c>
      <c r="AO1243" s="7" t="s">
        <v>55</v>
      </c>
      <c r="AP1243" s="7" t="s">
        <v>56</v>
      </c>
      <c r="AT1243" s="47" t="s">
        <v>57</v>
      </c>
      <c r="AU1243" s="47" t="s">
        <v>57</v>
      </c>
    </row>
    <row r="1244" spans="1:47">
      <c r="A1244" s="4" t="s">
        <v>48</v>
      </c>
      <c r="C1244" s="21"/>
      <c r="D1244" s="22" t="s">
        <v>49</v>
      </c>
      <c r="G1244" s="23">
        <v>45092</v>
      </c>
      <c r="H1244" s="24" t="s">
        <v>3712</v>
      </c>
      <c r="J1244" s="28" t="s">
        <v>51</v>
      </c>
      <c r="L1244" s="24" t="s">
        <v>3713</v>
      </c>
      <c r="M1244" s="1" t="str">
        <f>"131082196910308218"</f>
        <v>131082196910308218</v>
      </c>
      <c r="N1244" s="24" t="s">
        <v>3713</v>
      </c>
      <c r="O1244" s="1" t="str">
        <f>"131082196910308218"</f>
        <v>131082196910308218</v>
      </c>
      <c r="P1244" s="23" t="s">
        <v>3714</v>
      </c>
      <c r="Q1244" s="23">
        <v>45093</v>
      </c>
      <c r="R1244" s="32">
        <v>45459</v>
      </c>
      <c r="V1244" s="33">
        <v>200</v>
      </c>
      <c r="W1244" s="28">
        <v>64.29</v>
      </c>
      <c r="X1244" s="34" t="s">
        <v>54</v>
      </c>
      <c r="Y1244" s="33">
        <v>128.58</v>
      </c>
      <c r="AC1244" s="28">
        <v>64.29</v>
      </c>
      <c r="AD1244" s="34" t="s">
        <v>54</v>
      </c>
      <c r="AE1244" s="33">
        <v>128.58</v>
      </c>
      <c r="AN1244" s="7" t="s">
        <v>54</v>
      </c>
      <c r="AO1244" s="7" t="s">
        <v>55</v>
      </c>
      <c r="AP1244" s="7" t="s">
        <v>56</v>
      </c>
      <c r="AT1244" s="47" t="s">
        <v>57</v>
      </c>
      <c r="AU1244" s="47" t="s">
        <v>57</v>
      </c>
    </row>
    <row r="1245" spans="1:47">
      <c r="A1245" s="4" t="s">
        <v>48</v>
      </c>
      <c r="C1245" s="21"/>
      <c r="D1245" s="22" t="s">
        <v>49</v>
      </c>
      <c r="G1245" s="23">
        <v>45091</v>
      </c>
      <c r="H1245" s="24" t="s">
        <v>3715</v>
      </c>
      <c r="J1245" s="28" t="s">
        <v>51</v>
      </c>
      <c r="L1245" s="24" t="s">
        <v>3716</v>
      </c>
      <c r="M1245" s="1" t="str">
        <f>"110107197312281524"</f>
        <v>110107197312281524</v>
      </c>
      <c r="N1245" s="24" t="s">
        <v>3716</v>
      </c>
      <c r="O1245" s="1" t="str">
        <f>"110107197312281524"</f>
        <v>110107197312281524</v>
      </c>
      <c r="P1245" s="23" t="s">
        <v>3717</v>
      </c>
      <c r="Q1245" s="23">
        <v>45092</v>
      </c>
      <c r="R1245" s="32">
        <v>45458</v>
      </c>
      <c r="V1245" s="33">
        <v>200</v>
      </c>
      <c r="W1245" s="28">
        <v>64.29</v>
      </c>
      <c r="X1245" s="34" t="s">
        <v>54</v>
      </c>
      <c r="Y1245" s="33">
        <v>128.58</v>
      </c>
      <c r="AC1245" s="28">
        <v>64.29</v>
      </c>
      <c r="AD1245" s="34" t="s">
        <v>54</v>
      </c>
      <c r="AE1245" s="33">
        <v>128.58</v>
      </c>
      <c r="AN1245" s="7" t="s">
        <v>54</v>
      </c>
      <c r="AO1245" s="7" t="s">
        <v>55</v>
      </c>
      <c r="AP1245" s="7" t="s">
        <v>56</v>
      </c>
      <c r="AT1245" s="47" t="s">
        <v>57</v>
      </c>
      <c r="AU1245" s="47" t="s">
        <v>57</v>
      </c>
    </row>
    <row r="1246" spans="1:47">
      <c r="A1246" s="4" t="s">
        <v>48</v>
      </c>
      <c r="C1246" s="21"/>
      <c r="D1246" s="22" t="s">
        <v>49</v>
      </c>
      <c r="G1246" s="23">
        <v>45092</v>
      </c>
      <c r="H1246" s="24" t="s">
        <v>3718</v>
      </c>
      <c r="J1246" s="28" t="s">
        <v>51</v>
      </c>
      <c r="L1246" s="24" t="s">
        <v>3719</v>
      </c>
      <c r="M1246" s="1" t="str">
        <f>"132821196508108279"</f>
        <v>132821196508108279</v>
      </c>
      <c r="N1246" s="24" t="s">
        <v>3719</v>
      </c>
      <c r="O1246" s="1" t="str">
        <f>"132821196508108279"</f>
        <v>132821196508108279</v>
      </c>
      <c r="P1246" s="23" t="s">
        <v>3709</v>
      </c>
      <c r="Q1246" s="23">
        <v>45093</v>
      </c>
      <c r="R1246" s="32">
        <v>45459</v>
      </c>
      <c r="V1246" s="33">
        <v>200</v>
      </c>
      <c r="W1246" s="28">
        <v>64.29</v>
      </c>
      <c r="X1246" s="34" t="s">
        <v>54</v>
      </c>
      <c r="Y1246" s="33">
        <v>128.58</v>
      </c>
      <c r="AC1246" s="28">
        <v>64.29</v>
      </c>
      <c r="AD1246" s="34" t="s">
        <v>54</v>
      </c>
      <c r="AE1246" s="33">
        <v>128.58</v>
      </c>
      <c r="AN1246" s="7" t="s">
        <v>54</v>
      </c>
      <c r="AO1246" s="7" t="s">
        <v>55</v>
      </c>
      <c r="AP1246" s="7" t="s">
        <v>56</v>
      </c>
      <c r="AT1246" s="47" t="s">
        <v>57</v>
      </c>
      <c r="AU1246" s="47" t="s">
        <v>57</v>
      </c>
    </row>
    <row r="1247" spans="1:47">
      <c r="A1247" s="4" t="s">
        <v>48</v>
      </c>
      <c r="C1247" s="21"/>
      <c r="D1247" s="22" t="s">
        <v>49</v>
      </c>
      <c r="G1247" s="23">
        <v>45089</v>
      </c>
      <c r="H1247" s="24" t="s">
        <v>3720</v>
      </c>
      <c r="J1247" s="28" t="s">
        <v>51</v>
      </c>
      <c r="L1247" s="24" t="s">
        <v>3721</v>
      </c>
      <c r="M1247" s="1" t="str">
        <f>"13108219870216102X"</f>
        <v>13108219870216102X</v>
      </c>
      <c r="N1247" s="24" t="s">
        <v>3721</v>
      </c>
      <c r="O1247" s="1" t="str">
        <f>"13108219870216102X"</f>
        <v>13108219870216102X</v>
      </c>
      <c r="P1247" s="23" t="s">
        <v>3722</v>
      </c>
      <c r="Q1247" s="23">
        <v>45187</v>
      </c>
      <c r="R1247" s="32">
        <v>45553</v>
      </c>
      <c r="V1247" s="33">
        <v>200</v>
      </c>
      <c r="W1247" s="28">
        <v>64.29</v>
      </c>
      <c r="X1247" s="34" t="s">
        <v>54</v>
      </c>
      <c r="Y1247" s="33">
        <v>128.58</v>
      </c>
      <c r="AC1247" s="28">
        <v>64.29</v>
      </c>
      <c r="AD1247" s="34" t="s">
        <v>54</v>
      </c>
      <c r="AE1247" s="33">
        <v>128.58</v>
      </c>
      <c r="AN1247" s="7" t="s">
        <v>54</v>
      </c>
      <c r="AO1247" s="7" t="s">
        <v>55</v>
      </c>
      <c r="AP1247" s="7" t="s">
        <v>56</v>
      </c>
      <c r="AT1247" s="47" t="s">
        <v>57</v>
      </c>
      <c r="AU1247" s="47" t="s">
        <v>57</v>
      </c>
    </row>
    <row r="1248" spans="1:47">
      <c r="A1248" s="4" t="s">
        <v>48</v>
      </c>
      <c r="C1248" s="21"/>
      <c r="D1248" s="22" t="s">
        <v>49</v>
      </c>
      <c r="G1248" s="23">
        <v>45090</v>
      </c>
      <c r="H1248" s="24" t="s">
        <v>3723</v>
      </c>
      <c r="J1248" s="28" t="s">
        <v>51</v>
      </c>
      <c r="L1248" s="24" t="s">
        <v>3724</v>
      </c>
      <c r="M1248" s="1" t="str">
        <f>"110101196007174586"</f>
        <v>110101196007174586</v>
      </c>
      <c r="N1248" s="24" t="s">
        <v>3724</v>
      </c>
      <c r="O1248" s="1" t="str">
        <f>"110101196007174586"</f>
        <v>110101196007174586</v>
      </c>
      <c r="P1248" s="23" t="s">
        <v>3725</v>
      </c>
      <c r="Q1248" s="23">
        <v>45213</v>
      </c>
      <c r="R1248" s="32">
        <v>45579</v>
      </c>
      <c r="V1248" s="33">
        <v>200</v>
      </c>
      <c r="W1248" s="28">
        <v>64.29</v>
      </c>
      <c r="X1248" s="34" t="s">
        <v>54</v>
      </c>
      <c r="Y1248" s="33">
        <v>128.58</v>
      </c>
      <c r="AC1248" s="28">
        <v>64.29</v>
      </c>
      <c r="AD1248" s="34" t="s">
        <v>54</v>
      </c>
      <c r="AE1248" s="33">
        <v>128.58</v>
      </c>
      <c r="AN1248" s="7" t="s">
        <v>54</v>
      </c>
      <c r="AO1248" s="7" t="s">
        <v>55</v>
      </c>
      <c r="AP1248" s="7" t="s">
        <v>56</v>
      </c>
      <c r="AT1248" s="47" t="s">
        <v>57</v>
      </c>
      <c r="AU1248" s="47" t="s">
        <v>57</v>
      </c>
    </row>
    <row r="1249" spans="1:47">
      <c r="A1249" s="4" t="s">
        <v>48</v>
      </c>
      <c r="C1249" s="21"/>
      <c r="D1249" s="22" t="s">
        <v>49</v>
      </c>
      <c r="G1249" s="23">
        <v>45078</v>
      </c>
      <c r="H1249" s="24" t="s">
        <v>3726</v>
      </c>
      <c r="J1249" s="28" t="s">
        <v>51</v>
      </c>
      <c r="L1249" s="24" t="s">
        <v>3727</v>
      </c>
      <c r="M1249" s="1" t="str">
        <f>"132821196907048277"</f>
        <v>132821196907048277</v>
      </c>
      <c r="N1249" s="24" t="s">
        <v>3727</v>
      </c>
      <c r="O1249" s="1" t="str">
        <f>"132821196907048277"</f>
        <v>132821196907048277</v>
      </c>
      <c r="P1249" s="23" t="s">
        <v>3728</v>
      </c>
      <c r="Q1249" s="23">
        <v>45079</v>
      </c>
      <c r="R1249" s="32">
        <v>45445</v>
      </c>
      <c r="V1249" s="33">
        <v>50</v>
      </c>
      <c r="W1249" s="28">
        <v>64.29</v>
      </c>
      <c r="X1249" s="34" t="s">
        <v>54</v>
      </c>
      <c r="Y1249" s="33">
        <v>32.15</v>
      </c>
      <c r="AC1249" s="28">
        <v>64.29</v>
      </c>
      <c r="AD1249" s="34" t="s">
        <v>54</v>
      </c>
      <c r="AE1249" s="33">
        <v>32.15</v>
      </c>
      <c r="AN1249" s="7" t="s">
        <v>54</v>
      </c>
      <c r="AO1249" s="7" t="s">
        <v>55</v>
      </c>
      <c r="AP1249" s="7" t="s">
        <v>56</v>
      </c>
      <c r="AT1249" s="47" t="s">
        <v>57</v>
      </c>
      <c r="AU1249" s="47" t="s">
        <v>57</v>
      </c>
    </row>
    <row r="1250" spans="1:47">
      <c r="A1250" s="4" t="s">
        <v>48</v>
      </c>
      <c r="C1250" s="21"/>
      <c r="D1250" s="22" t="s">
        <v>49</v>
      </c>
      <c r="G1250" s="23">
        <v>45075</v>
      </c>
      <c r="H1250" s="24" t="s">
        <v>3729</v>
      </c>
      <c r="J1250" s="28" t="s">
        <v>51</v>
      </c>
      <c r="L1250" s="24" t="s">
        <v>3730</v>
      </c>
      <c r="M1250" s="1" t="str">
        <f>"132821195604058270"</f>
        <v>132821195604058270</v>
      </c>
      <c r="N1250" s="24" t="s">
        <v>3730</v>
      </c>
      <c r="O1250" s="1" t="str">
        <f>"132821195604058270"</f>
        <v>132821195604058270</v>
      </c>
      <c r="P1250" s="23" t="s">
        <v>3731</v>
      </c>
      <c r="Q1250" s="23">
        <v>45148</v>
      </c>
      <c r="R1250" s="32">
        <v>45514</v>
      </c>
      <c r="V1250" s="33">
        <v>50</v>
      </c>
      <c r="W1250" s="28">
        <v>64.29</v>
      </c>
      <c r="X1250" s="34" t="s">
        <v>54</v>
      </c>
      <c r="Y1250" s="33">
        <v>32.15</v>
      </c>
      <c r="AC1250" s="28">
        <v>64.29</v>
      </c>
      <c r="AD1250" s="34" t="s">
        <v>54</v>
      </c>
      <c r="AE1250" s="33">
        <v>32.15</v>
      </c>
      <c r="AN1250" s="7" t="s">
        <v>54</v>
      </c>
      <c r="AO1250" s="7" t="s">
        <v>55</v>
      </c>
      <c r="AP1250" s="7" t="s">
        <v>56</v>
      </c>
      <c r="AT1250" s="47" t="s">
        <v>57</v>
      </c>
      <c r="AU1250" s="47" t="s">
        <v>57</v>
      </c>
    </row>
    <row r="1251" spans="1:47">
      <c r="A1251" s="4" t="s">
        <v>48</v>
      </c>
      <c r="C1251" s="21"/>
      <c r="D1251" s="22" t="s">
        <v>49</v>
      </c>
      <c r="G1251" s="23">
        <v>45074</v>
      </c>
      <c r="H1251" s="24" t="s">
        <v>3732</v>
      </c>
      <c r="J1251" s="28" t="s">
        <v>51</v>
      </c>
      <c r="L1251" s="24" t="s">
        <v>3733</v>
      </c>
      <c r="M1251" s="1" t="str">
        <f>"132821196311190264"</f>
        <v>132821196311190264</v>
      </c>
      <c r="N1251" s="24" t="s">
        <v>3733</v>
      </c>
      <c r="O1251" s="1" t="str">
        <f>"132821196311190264"</f>
        <v>132821196311190264</v>
      </c>
      <c r="P1251" s="23" t="s">
        <v>3734</v>
      </c>
      <c r="Q1251" s="23">
        <v>45075</v>
      </c>
      <c r="R1251" s="32">
        <v>45441</v>
      </c>
      <c r="V1251" s="33">
        <v>50</v>
      </c>
      <c r="W1251" s="28">
        <v>64.29</v>
      </c>
      <c r="X1251" s="34" t="s">
        <v>54</v>
      </c>
      <c r="Y1251" s="33">
        <v>32.15</v>
      </c>
      <c r="AC1251" s="28">
        <v>64.29</v>
      </c>
      <c r="AD1251" s="34" t="s">
        <v>54</v>
      </c>
      <c r="AE1251" s="33">
        <v>32.15</v>
      </c>
      <c r="AN1251" s="7" t="s">
        <v>54</v>
      </c>
      <c r="AO1251" s="7" t="s">
        <v>55</v>
      </c>
      <c r="AP1251" s="7" t="s">
        <v>56</v>
      </c>
      <c r="AT1251" s="47" t="s">
        <v>57</v>
      </c>
      <c r="AU1251" s="47" t="s">
        <v>57</v>
      </c>
    </row>
    <row r="1252" spans="1:47">
      <c r="A1252" s="4" t="s">
        <v>48</v>
      </c>
      <c r="C1252" s="21"/>
      <c r="D1252" s="22" t="s">
        <v>49</v>
      </c>
      <c r="G1252" s="23">
        <v>45091</v>
      </c>
      <c r="H1252" s="24" t="s">
        <v>3735</v>
      </c>
      <c r="J1252" s="28" t="s">
        <v>51</v>
      </c>
      <c r="L1252" s="24" t="s">
        <v>3736</v>
      </c>
      <c r="M1252" s="1" t="str">
        <f>"132821195105252511"</f>
        <v>132821195105252511</v>
      </c>
      <c r="N1252" s="24" t="s">
        <v>3736</v>
      </c>
      <c r="O1252" s="1" t="str">
        <f>"132821195105252511"</f>
        <v>132821195105252511</v>
      </c>
      <c r="P1252" s="23" t="s">
        <v>3737</v>
      </c>
      <c r="Q1252" s="23">
        <v>45302</v>
      </c>
      <c r="R1252" s="32">
        <v>45668</v>
      </c>
      <c r="V1252" s="33">
        <v>100</v>
      </c>
      <c r="W1252" s="28">
        <v>64.29</v>
      </c>
      <c r="X1252" s="34" t="s">
        <v>54</v>
      </c>
      <c r="Y1252" s="33">
        <v>64.29</v>
      </c>
      <c r="AC1252" s="28">
        <v>64.29</v>
      </c>
      <c r="AD1252" s="34" t="s">
        <v>54</v>
      </c>
      <c r="AE1252" s="33">
        <v>64.29</v>
      </c>
      <c r="AN1252" s="7" t="s">
        <v>54</v>
      </c>
      <c r="AO1252" s="7" t="s">
        <v>55</v>
      </c>
      <c r="AP1252" s="7" t="s">
        <v>56</v>
      </c>
      <c r="AT1252" s="47" t="s">
        <v>57</v>
      </c>
      <c r="AU1252" s="47" t="s">
        <v>57</v>
      </c>
    </row>
    <row r="1253" spans="1:47">
      <c r="A1253" s="4" t="s">
        <v>48</v>
      </c>
      <c r="C1253" s="21"/>
      <c r="D1253" s="22" t="s">
        <v>49</v>
      </c>
      <c r="G1253" s="23">
        <v>45091</v>
      </c>
      <c r="H1253" s="24" t="s">
        <v>3738</v>
      </c>
      <c r="J1253" s="28" t="s">
        <v>51</v>
      </c>
      <c r="L1253" s="24" t="s">
        <v>3739</v>
      </c>
      <c r="M1253" s="1" t="str">
        <f>"341202195305011946"</f>
        <v>341202195305011946</v>
      </c>
      <c r="N1253" s="24" t="s">
        <v>3739</v>
      </c>
      <c r="O1253" s="1" t="str">
        <f>"341202195305011946"</f>
        <v>341202195305011946</v>
      </c>
      <c r="P1253" s="23" t="s">
        <v>3740</v>
      </c>
      <c r="Q1253" s="23">
        <v>45214</v>
      </c>
      <c r="R1253" s="32">
        <v>45580</v>
      </c>
      <c r="V1253" s="33">
        <v>100</v>
      </c>
      <c r="W1253" s="28">
        <v>64.29</v>
      </c>
      <c r="X1253" s="34" t="s">
        <v>54</v>
      </c>
      <c r="Y1253" s="33">
        <v>64.29</v>
      </c>
      <c r="AC1253" s="28">
        <v>64.29</v>
      </c>
      <c r="AD1253" s="34" t="s">
        <v>54</v>
      </c>
      <c r="AE1253" s="33">
        <v>64.29</v>
      </c>
      <c r="AN1253" s="7" t="s">
        <v>54</v>
      </c>
      <c r="AO1253" s="7" t="s">
        <v>55</v>
      </c>
      <c r="AP1253" s="7" t="s">
        <v>56</v>
      </c>
      <c r="AT1253" s="47" t="s">
        <v>57</v>
      </c>
      <c r="AU1253" s="47" t="s">
        <v>57</v>
      </c>
    </row>
    <row r="1254" spans="1:47">
      <c r="A1254" s="4" t="s">
        <v>48</v>
      </c>
      <c r="C1254" s="21"/>
      <c r="D1254" s="22" t="s">
        <v>49</v>
      </c>
      <c r="G1254" s="23">
        <v>45079</v>
      </c>
      <c r="H1254" s="24" t="s">
        <v>3741</v>
      </c>
      <c r="J1254" s="28" t="s">
        <v>51</v>
      </c>
      <c r="L1254" s="24" t="s">
        <v>3742</v>
      </c>
      <c r="M1254" s="1" t="str">
        <f>"131082198207220264"</f>
        <v>131082198207220264</v>
      </c>
      <c r="N1254" s="24" t="s">
        <v>3742</v>
      </c>
      <c r="O1254" s="1" t="str">
        <f>"131082198207220264"</f>
        <v>131082198207220264</v>
      </c>
      <c r="P1254" s="23" t="s">
        <v>3743</v>
      </c>
      <c r="Q1254" s="23">
        <v>45108</v>
      </c>
      <c r="R1254" s="32">
        <v>45474</v>
      </c>
      <c r="V1254" s="33">
        <v>100</v>
      </c>
      <c r="W1254" s="28">
        <v>64.29</v>
      </c>
      <c r="X1254" s="34" t="s">
        <v>54</v>
      </c>
      <c r="Y1254" s="33">
        <v>64.29</v>
      </c>
      <c r="AC1254" s="28">
        <v>64.29</v>
      </c>
      <c r="AD1254" s="34" t="s">
        <v>54</v>
      </c>
      <c r="AE1254" s="33">
        <v>64.29</v>
      </c>
      <c r="AN1254" s="7" t="s">
        <v>54</v>
      </c>
      <c r="AO1254" s="7" t="s">
        <v>55</v>
      </c>
      <c r="AP1254" s="7" t="s">
        <v>56</v>
      </c>
      <c r="AT1254" s="47" t="s">
        <v>57</v>
      </c>
      <c r="AU1254" s="47" t="s">
        <v>57</v>
      </c>
    </row>
    <row r="1255" spans="1:47">
      <c r="A1255" s="4" t="s">
        <v>48</v>
      </c>
      <c r="C1255" s="21"/>
      <c r="D1255" s="22" t="s">
        <v>49</v>
      </c>
      <c r="G1255" s="23">
        <v>45090</v>
      </c>
      <c r="H1255" s="24" t="s">
        <v>3744</v>
      </c>
      <c r="J1255" s="28" t="s">
        <v>51</v>
      </c>
      <c r="L1255" s="24" t="s">
        <v>3745</v>
      </c>
      <c r="M1255" s="1" t="str">
        <f>"131082197604190818"</f>
        <v>131082197604190818</v>
      </c>
      <c r="N1255" s="24" t="s">
        <v>3745</v>
      </c>
      <c r="O1255" s="1" t="str">
        <f>"131082197604190818"</f>
        <v>131082197604190818</v>
      </c>
      <c r="P1255" s="23" t="s">
        <v>3746</v>
      </c>
      <c r="Q1255" s="23">
        <v>45091</v>
      </c>
      <c r="R1255" s="32">
        <v>45457</v>
      </c>
      <c r="V1255" s="33">
        <v>200</v>
      </c>
      <c r="W1255" s="28">
        <v>64.29</v>
      </c>
      <c r="X1255" s="34" t="s">
        <v>54</v>
      </c>
      <c r="Y1255" s="33">
        <v>128.58</v>
      </c>
      <c r="AC1255" s="28">
        <v>64.29</v>
      </c>
      <c r="AD1255" s="34" t="s">
        <v>54</v>
      </c>
      <c r="AE1255" s="33">
        <v>128.58</v>
      </c>
      <c r="AN1255" s="7" t="s">
        <v>54</v>
      </c>
      <c r="AO1255" s="7" t="s">
        <v>55</v>
      </c>
      <c r="AP1255" s="7" t="s">
        <v>56</v>
      </c>
      <c r="AT1255" s="47" t="s">
        <v>57</v>
      </c>
      <c r="AU1255" s="47" t="s">
        <v>57</v>
      </c>
    </row>
    <row r="1256" spans="1:47">
      <c r="A1256" s="4" t="s">
        <v>48</v>
      </c>
      <c r="C1256" s="21"/>
      <c r="D1256" s="22" t="s">
        <v>49</v>
      </c>
      <c r="G1256" s="23">
        <v>45087</v>
      </c>
      <c r="H1256" s="24" t="s">
        <v>3747</v>
      </c>
      <c r="J1256" s="28" t="s">
        <v>51</v>
      </c>
      <c r="L1256" s="24" t="s">
        <v>2722</v>
      </c>
      <c r="M1256" s="1" t="str">
        <f>"132924194709100316"</f>
        <v>132924194709100316</v>
      </c>
      <c r="N1256" s="24" t="s">
        <v>2722</v>
      </c>
      <c r="O1256" s="1" t="str">
        <f>"132924194709100316"</f>
        <v>132924194709100316</v>
      </c>
      <c r="P1256" s="23" t="s">
        <v>3748</v>
      </c>
      <c r="Q1256" s="23">
        <v>45088</v>
      </c>
      <c r="R1256" s="32">
        <v>45454</v>
      </c>
      <c r="V1256" s="33">
        <v>200</v>
      </c>
      <c r="W1256" s="28">
        <v>64.29</v>
      </c>
      <c r="X1256" s="34" t="s">
        <v>54</v>
      </c>
      <c r="Y1256" s="33">
        <v>128.58</v>
      </c>
      <c r="AC1256" s="28">
        <v>64.29</v>
      </c>
      <c r="AD1256" s="34" t="s">
        <v>54</v>
      </c>
      <c r="AE1256" s="33">
        <v>128.58</v>
      </c>
      <c r="AN1256" s="7" t="s">
        <v>54</v>
      </c>
      <c r="AO1256" s="7" t="s">
        <v>55</v>
      </c>
      <c r="AP1256" s="7" t="s">
        <v>56</v>
      </c>
      <c r="AT1256" s="47" t="s">
        <v>57</v>
      </c>
      <c r="AU1256" s="47" t="s">
        <v>57</v>
      </c>
    </row>
    <row r="1257" spans="1:47">
      <c r="A1257" s="4" t="s">
        <v>48</v>
      </c>
      <c r="C1257" s="21"/>
      <c r="D1257" s="22" t="s">
        <v>49</v>
      </c>
      <c r="G1257" s="23">
        <v>45072</v>
      </c>
      <c r="H1257" s="24" t="s">
        <v>3749</v>
      </c>
      <c r="J1257" s="28" t="s">
        <v>51</v>
      </c>
      <c r="L1257" s="24" t="s">
        <v>3750</v>
      </c>
      <c r="M1257" s="1" t="str">
        <f>"131082198710182015"</f>
        <v>131082198710182015</v>
      </c>
      <c r="N1257" s="24" t="s">
        <v>3750</v>
      </c>
      <c r="O1257" s="1" t="str">
        <f>"131082198710182015"</f>
        <v>131082198710182015</v>
      </c>
      <c r="P1257" s="23" t="s">
        <v>3751</v>
      </c>
      <c r="Q1257" s="23">
        <v>45170</v>
      </c>
      <c r="R1257" s="32">
        <v>45536</v>
      </c>
      <c r="V1257" s="33">
        <v>50</v>
      </c>
      <c r="W1257" s="28">
        <v>64.29</v>
      </c>
      <c r="X1257" s="34" t="s">
        <v>54</v>
      </c>
      <c r="Y1257" s="33">
        <v>32.15</v>
      </c>
      <c r="AC1257" s="28">
        <v>64.29</v>
      </c>
      <c r="AD1257" s="34" t="s">
        <v>54</v>
      </c>
      <c r="AE1257" s="33">
        <v>32.15</v>
      </c>
      <c r="AN1257" s="7" t="s">
        <v>54</v>
      </c>
      <c r="AO1257" s="7" t="s">
        <v>55</v>
      </c>
      <c r="AP1257" s="7" t="s">
        <v>56</v>
      </c>
      <c r="AT1257" s="47" t="s">
        <v>57</v>
      </c>
      <c r="AU1257" s="47" t="s">
        <v>57</v>
      </c>
    </row>
    <row r="1258" spans="1:47">
      <c r="A1258" s="4" t="s">
        <v>48</v>
      </c>
      <c r="C1258" s="21"/>
      <c r="D1258" s="22" t="s">
        <v>49</v>
      </c>
      <c r="G1258" s="23">
        <v>45102</v>
      </c>
      <c r="H1258" s="24" t="s">
        <v>3752</v>
      </c>
      <c r="J1258" s="28" t="s">
        <v>51</v>
      </c>
      <c r="L1258" s="24" t="s">
        <v>3753</v>
      </c>
      <c r="M1258" s="1" t="str">
        <f>"132821194905082536"</f>
        <v>132821194905082536</v>
      </c>
      <c r="N1258" s="24" t="s">
        <v>3753</v>
      </c>
      <c r="O1258" s="1" t="str">
        <f>"132821194905082536"</f>
        <v>132821194905082536</v>
      </c>
      <c r="P1258" s="23" t="s">
        <v>3754</v>
      </c>
      <c r="Q1258" s="23">
        <v>45291</v>
      </c>
      <c r="R1258" s="32">
        <v>45657</v>
      </c>
      <c r="V1258" s="33">
        <v>100</v>
      </c>
      <c r="W1258" s="28">
        <v>64.29</v>
      </c>
      <c r="X1258" s="34" t="s">
        <v>54</v>
      </c>
      <c r="Y1258" s="33">
        <v>64.29</v>
      </c>
      <c r="AC1258" s="28">
        <v>64.29</v>
      </c>
      <c r="AD1258" s="34" t="s">
        <v>54</v>
      </c>
      <c r="AE1258" s="33">
        <v>64.29</v>
      </c>
      <c r="AN1258" s="7" t="s">
        <v>54</v>
      </c>
      <c r="AO1258" s="7" t="s">
        <v>55</v>
      </c>
      <c r="AP1258" s="7" t="s">
        <v>56</v>
      </c>
      <c r="AT1258" s="47" t="s">
        <v>57</v>
      </c>
      <c r="AU1258" s="47" t="s">
        <v>57</v>
      </c>
    </row>
    <row r="1259" spans="1:47">
      <c r="A1259" s="4" t="s">
        <v>48</v>
      </c>
      <c r="C1259" s="21"/>
      <c r="D1259" s="22" t="s">
        <v>49</v>
      </c>
      <c r="G1259" s="23">
        <v>45102</v>
      </c>
      <c r="H1259" s="24" t="s">
        <v>3755</v>
      </c>
      <c r="J1259" s="28" t="s">
        <v>51</v>
      </c>
      <c r="L1259" s="24" t="s">
        <v>3756</v>
      </c>
      <c r="M1259" s="1" t="str">
        <f>"132821194611298833"</f>
        <v>132821194611298833</v>
      </c>
      <c r="N1259" s="24" t="s">
        <v>3756</v>
      </c>
      <c r="O1259" s="1" t="str">
        <f>"132821194611298833"</f>
        <v>132821194611298833</v>
      </c>
      <c r="P1259" s="23" t="s">
        <v>3757</v>
      </c>
      <c r="Q1259" s="23">
        <v>45103</v>
      </c>
      <c r="R1259" s="32">
        <v>45469</v>
      </c>
      <c r="V1259" s="33">
        <v>100</v>
      </c>
      <c r="W1259" s="28">
        <v>64.29</v>
      </c>
      <c r="X1259" s="34" t="s">
        <v>54</v>
      </c>
      <c r="Y1259" s="33">
        <v>64.29</v>
      </c>
      <c r="AC1259" s="28">
        <v>64.29</v>
      </c>
      <c r="AD1259" s="34" t="s">
        <v>54</v>
      </c>
      <c r="AE1259" s="33">
        <v>64.29</v>
      </c>
      <c r="AN1259" s="7" t="s">
        <v>54</v>
      </c>
      <c r="AO1259" s="7" t="s">
        <v>55</v>
      </c>
      <c r="AP1259" s="7" t="s">
        <v>56</v>
      </c>
      <c r="AT1259" s="47" t="s">
        <v>57</v>
      </c>
      <c r="AU1259" s="47" t="s">
        <v>57</v>
      </c>
    </row>
    <row r="1260" spans="1:47">
      <c r="A1260" s="4" t="s">
        <v>48</v>
      </c>
      <c r="C1260" s="21"/>
      <c r="D1260" s="22" t="s">
        <v>49</v>
      </c>
      <c r="G1260" s="23">
        <v>45092</v>
      </c>
      <c r="H1260" s="24" t="s">
        <v>3758</v>
      </c>
      <c r="J1260" s="28" t="s">
        <v>51</v>
      </c>
      <c r="L1260" s="24" t="s">
        <v>2229</v>
      </c>
      <c r="M1260" s="1" t="str">
        <f>"341225199012010440"</f>
        <v>341225199012010440</v>
      </c>
      <c r="N1260" s="24" t="s">
        <v>2229</v>
      </c>
      <c r="O1260" s="1" t="str">
        <f>"341225199012010440"</f>
        <v>341225199012010440</v>
      </c>
      <c r="P1260" s="23" t="s">
        <v>3759</v>
      </c>
      <c r="Q1260" s="23">
        <v>45093</v>
      </c>
      <c r="R1260" s="32">
        <v>45459</v>
      </c>
      <c r="V1260" s="33">
        <v>100</v>
      </c>
      <c r="W1260" s="28">
        <v>64.29</v>
      </c>
      <c r="X1260" s="34" t="s">
        <v>54</v>
      </c>
      <c r="Y1260" s="33">
        <v>64.29</v>
      </c>
      <c r="AC1260" s="28">
        <v>64.29</v>
      </c>
      <c r="AD1260" s="34" t="s">
        <v>54</v>
      </c>
      <c r="AE1260" s="33">
        <v>64.29</v>
      </c>
      <c r="AN1260" s="7" t="s">
        <v>54</v>
      </c>
      <c r="AO1260" s="7" t="s">
        <v>55</v>
      </c>
      <c r="AP1260" s="7" t="s">
        <v>56</v>
      </c>
      <c r="AT1260" s="47" t="s">
        <v>57</v>
      </c>
      <c r="AU1260" s="47" t="s">
        <v>57</v>
      </c>
    </row>
    <row r="1261" spans="1:47">
      <c r="A1261" s="4" t="s">
        <v>48</v>
      </c>
      <c r="C1261" s="21"/>
      <c r="D1261" s="22" t="s">
        <v>49</v>
      </c>
      <c r="G1261" s="23">
        <v>45092</v>
      </c>
      <c r="H1261" s="24" t="s">
        <v>3760</v>
      </c>
      <c r="J1261" s="28" t="s">
        <v>51</v>
      </c>
      <c r="L1261" s="24" t="s">
        <v>3761</v>
      </c>
      <c r="M1261" s="1" t="str">
        <f>"131025199707035425"</f>
        <v>131025199707035425</v>
      </c>
      <c r="N1261" s="24" t="s">
        <v>3761</v>
      </c>
      <c r="O1261" s="1" t="str">
        <f>"131025199707035425"</f>
        <v>131025199707035425</v>
      </c>
      <c r="P1261" s="23" t="s">
        <v>3762</v>
      </c>
      <c r="Q1261" s="23">
        <v>45093</v>
      </c>
      <c r="R1261" s="32">
        <v>45459</v>
      </c>
      <c r="V1261" s="33">
        <v>100</v>
      </c>
      <c r="W1261" s="28">
        <v>64.29</v>
      </c>
      <c r="X1261" s="34" t="s">
        <v>54</v>
      </c>
      <c r="Y1261" s="33">
        <v>64.29</v>
      </c>
      <c r="AC1261" s="28">
        <v>64.29</v>
      </c>
      <c r="AD1261" s="34" t="s">
        <v>54</v>
      </c>
      <c r="AE1261" s="33">
        <v>64.29</v>
      </c>
      <c r="AN1261" s="7" t="s">
        <v>54</v>
      </c>
      <c r="AO1261" s="7" t="s">
        <v>55</v>
      </c>
      <c r="AP1261" s="7" t="s">
        <v>56</v>
      </c>
      <c r="AT1261" s="47" t="s">
        <v>57</v>
      </c>
      <c r="AU1261" s="47" t="s">
        <v>57</v>
      </c>
    </row>
    <row r="1262" spans="1:47">
      <c r="A1262" s="4" t="s">
        <v>48</v>
      </c>
      <c r="C1262" s="21"/>
      <c r="D1262" s="22" t="s">
        <v>49</v>
      </c>
      <c r="G1262" s="23">
        <v>45092</v>
      </c>
      <c r="H1262" s="24" t="s">
        <v>3763</v>
      </c>
      <c r="J1262" s="28" t="s">
        <v>51</v>
      </c>
      <c r="L1262" s="24" t="s">
        <v>3764</v>
      </c>
      <c r="M1262" s="1" t="str">
        <f>"131082199009131011"</f>
        <v>131082199009131011</v>
      </c>
      <c r="N1262" s="24" t="s">
        <v>3764</v>
      </c>
      <c r="O1262" s="1" t="str">
        <f>"131082199009131011"</f>
        <v>131082199009131011</v>
      </c>
      <c r="P1262" s="23" t="s">
        <v>3765</v>
      </c>
      <c r="Q1262" s="23">
        <v>45093</v>
      </c>
      <c r="R1262" s="32">
        <v>45459</v>
      </c>
      <c r="V1262" s="33">
        <v>100</v>
      </c>
      <c r="W1262" s="28">
        <v>64.29</v>
      </c>
      <c r="X1262" s="34" t="s">
        <v>54</v>
      </c>
      <c r="Y1262" s="33">
        <v>64.29</v>
      </c>
      <c r="AC1262" s="28">
        <v>64.29</v>
      </c>
      <c r="AD1262" s="34" t="s">
        <v>54</v>
      </c>
      <c r="AE1262" s="33">
        <v>64.29</v>
      </c>
      <c r="AN1262" s="7" t="s">
        <v>54</v>
      </c>
      <c r="AO1262" s="7" t="s">
        <v>55</v>
      </c>
      <c r="AP1262" s="7" t="s">
        <v>56</v>
      </c>
      <c r="AT1262" s="47" t="s">
        <v>57</v>
      </c>
      <c r="AU1262" s="47" t="s">
        <v>57</v>
      </c>
    </row>
    <row r="1263" spans="1:47">
      <c r="A1263" s="4" t="s">
        <v>48</v>
      </c>
      <c r="C1263" s="21"/>
      <c r="D1263" s="22" t="s">
        <v>49</v>
      </c>
      <c r="G1263" s="23">
        <v>45092</v>
      </c>
      <c r="H1263" s="24" t="s">
        <v>3766</v>
      </c>
      <c r="J1263" s="28" t="s">
        <v>51</v>
      </c>
      <c r="L1263" s="24" t="s">
        <v>3767</v>
      </c>
      <c r="M1263" s="1" t="str">
        <f>"110223197104086025"</f>
        <v>110223197104086025</v>
      </c>
      <c r="N1263" s="24" t="s">
        <v>3767</v>
      </c>
      <c r="O1263" s="1" t="str">
        <f>"110223197104086025"</f>
        <v>110223197104086025</v>
      </c>
      <c r="P1263" s="23" t="s">
        <v>3768</v>
      </c>
      <c r="Q1263" s="23">
        <v>45093</v>
      </c>
      <c r="R1263" s="32">
        <v>45459</v>
      </c>
      <c r="V1263" s="33">
        <v>100</v>
      </c>
      <c r="W1263" s="28">
        <v>64.29</v>
      </c>
      <c r="X1263" s="34" t="s">
        <v>54</v>
      </c>
      <c r="Y1263" s="33">
        <v>64.29</v>
      </c>
      <c r="AC1263" s="28">
        <v>64.29</v>
      </c>
      <c r="AD1263" s="34" t="s">
        <v>54</v>
      </c>
      <c r="AE1263" s="33">
        <v>64.29</v>
      </c>
      <c r="AN1263" s="7" t="s">
        <v>54</v>
      </c>
      <c r="AO1263" s="7" t="s">
        <v>55</v>
      </c>
      <c r="AP1263" s="7" t="s">
        <v>56</v>
      </c>
      <c r="AT1263" s="47" t="s">
        <v>57</v>
      </c>
      <c r="AU1263" s="47" t="s">
        <v>57</v>
      </c>
    </row>
    <row r="1264" spans="1:47">
      <c r="A1264" s="4" t="s">
        <v>48</v>
      </c>
      <c r="C1264" s="21"/>
      <c r="D1264" s="22" t="s">
        <v>49</v>
      </c>
      <c r="G1264" s="23">
        <v>45091</v>
      </c>
      <c r="H1264" s="24" t="s">
        <v>3769</v>
      </c>
      <c r="J1264" s="28" t="s">
        <v>51</v>
      </c>
      <c r="L1264" s="24" t="s">
        <v>3770</v>
      </c>
      <c r="M1264" s="1" t="str">
        <f>"13282119640411827X"</f>
        <v>13282119640411827X</v>
      </c>
      <c r="N1264" s="24" t="s">
        <v>3770</v>
      </c>
      <c r="O1264" s="1" t="str">
        <f>"13282119640411827X"</f>
        <v>13282119640411827X</v>
      </c>
      <c r="P1264" s="23" t="s">
        <v>3771</v>
      </c>
      <c r="Q1264" s="23">
        <v>45102</v>
      </c>
      <c r="R1264" s="32">
        <v>45468</v>
      </c>
      <c r="V1264" s="33">
        <v>100</v>
      </c>
      <c r="W1264" s="28">
        <v>64.29</v>
      </c>
      <c r="X1264" s="34" t="s">
        <v>54</v>
      </c>
      <c r="Y1264" s="33">
        <v>64.29</v>
      </c>
      <c r="AC1264" s="28">
        <v>64.29</v>
      </c>
      <c r="AD1264" s="34" t="s">
        <v>54</v>
      </c>
      <c r="AE1264" s="33">
        <v>64.29</v>
      </c>
      <c r="AN1264" s="7" t="s">
        <v>54</v>
      </c>
      <c r="AO1264" s="7" t="s">
        <v>55</v>
      </c>
      <c r="AP1264" s="7" t="s">
        <v>56</v>
      </c>
      <c r="AT1264" s="47" t="s">
        <v>57</v>
      </c>
      <c r="AU1264" s="47" t="s">
        <v>57</v>
      </c>
    </row>
    <row r="1265" spans="1:47">
      <c r="A1265" s="4" t="s">
        <v>48</v>
      </c>
      <c r="C1265" s="21"/>
      <c r="D1265" s="22" t="s">
        <v>49</v>
      </c>
      <c r="G1265" s="23">
        <v>45091</v>
      </c>
      <c r="H1265" s="24" t="s">
        <v>3772</v>
      </c>
      <c r="J1265" s="28" t="s">
        <v>51</v>
      </c>
      <c r="L1265" s="24" t="s">
        <v>3773</v>
      </c>
      <c r="M1265" s="1" t="str">
        <f>"342101196209111019"</f>
        <v>342101196209111019</v>
      </c>
      <c r="N1265" s="24" t="s">
        <v>3773</v>
      </c>
      <c r="O1265" s="1" t="str">
        <f>"342101196209111019"</f>
        <v>342101196209111019</v>
      </c>
      <c r="P1265" s="23" t="s">
        <v>3774</v>
      </c>
      <c r="Q1265" s="23">
        <v>45092</v>
      </c>
      <c r="R1265" s="32">
        <v>45458</v>
      </c>
      <c r="V1265" s="33">
        <v>100</v>
      </c>
      <c r="W1265" s="28">
        <v>64.29</v>
      </c>
      <c r="X1265" s="34" t="s">
        <v>54</v>
      </c>
      <c r="Y1265" s="33">
        <v>64.29</v>
      </c>
      <c r="AC1265" s="28">
        <v>64.29</v>
      </c>
      <c r="AD1265" s="34" t="s">
        <v>54</v>
      </c>
      <c r="AE1265" s="33">
        <v>64.29</v>
      </c>
      <c r="AN1265" s="7" t="s">
        <v>54</v>
      </c>
      <c r="AO1265" s="7" t="s">
        <v>55</v>
      </c>
      <c r="AP1265" s="7" t="s">
        <v>56</v>
      </c>
      <c r="AT1265" s="47" t="s">
        <v>57</v>
      </c>
      <c r="AU1265" s="47" t="s">
        <v>57</v>
      </c>
    </row>
    <row r="1266" spans="1:47">
      <c r="A1266" s="4" t="s">
        <v>48</v>
      </c>
      <c r="C1266" s="21"/>
      <c r="D1266" s="22" t="s">
        <v>49</v>
      </c>
      <c r="G1266" s="23">
        <v>45082</v>
      </c>
      <c r="H1266" s="24" t="s">
        <v>3775</v>
      </c>
      <c r="J1266" s="28" t="s">
        <v>51</v>
      </c>
      <c r="L1266" s="24" t="s">
        <v>3776</v>
      </c>
      <c r="M1266" s="1" t="str">
        <f>"132821196604012912"</f>
        <v>132821196604012912</v>
      </c>
      <c r="N1266" s="24" t="s">
        <v>3776</v>
      </c>
      <c r="O1266" s="1" t="str">
        <f>"132821196604012912"</f>
        <v>132821196604012912</v>
      </c>
      <c r="P1266" s="23" t="s">
        <v>3777</v>
      </c>
      <c r="Q1266" s="23">
        <v>45083</v>
      </c>
      <c r="R1266" s="32">
        <v>45449</v>
      </c>
      <c r="V1266" s="33">
        <v>100</v>
      </c>
      <c r="W1266" s="28">
        <v>64.29</v>
      </c>
      <c r="X1266" s="34" t="s">
        <v>54</v>
      </c>
      <c r="Y1266" s="33">
        <v>64.29</v>
      </c>
      <c r="AC1266" s="28">
        <v>64.29</v>
      </c>
      <c r="AD1266" s="34" t="s">
        <v>54</v>
      </c>
      <c r="AE1266" s="33">
        <v>64.29</v>
      </c>
      <c r="AN1266" s="7" t="s">
        <v>54</v>
      </c>
      <c r="AO1266" s="7" t="s">
        <v>55</v>
      </c>
      <c r="AP1266" s="7" t="s">
        <v>56</v>
      </c>
      <c r="AT1266" s="47" t="s">
        <v>57</v>
      </c>
      <c r="AU1266" s="47" t="s">
        <v>57</v>
      </c>
    </row>
    <row r="1267" spans="1:47">
      <c r="A1267" s="4" t="s">
        <v>48</v>
      </c>
      <c r="C1267" s="21"/>
      <c r="D1267" s="22" t="s">
        <v>49</v>
      </c>
      <c r="G1267" s="23">
        <v>45082</v>
      </c>
      <c r="H1267" s="24" t="s">
        <v>3778</v>
      </c>
      <c r="J1267" s="28" t="s">
        <v>51</v>
      </c>
      <c r="L1267" s="24" t="s">
        <v>3779</v>
      </c>
      <c r="M1267" s="1" t="str">
        <f>"11010819600514373X"</f>
        <v>11010819600514373X</v>
      </c>
      <c r="N1267" s="24" t="s">
        <v>3779</v>
      </c>
      <c r="O1267" s="1" t="str">
        <f>"11010819600514373X"</f>
        <v>11010819600514373X</v>
      </c>
      <c r="P1267" s="23" t="s">
        <v>3780</v>
      </c>
      <c r="Q1267" s="23">
        <v>45175</v>
      </c>
      <c r="R1267" s="32">
        <v>45541</v>
      </c>
      <c r="V1267" s="33">
        <v>100</v>
      </c>
      <c r="W1267" s="28">
        <v>64.29</v>
      </c>
      <c r="X1267" s="34" t="s">
        <v>54</v>
      </c>
      <c r="Y1267" s="33">
        <v>64.29</v>
      </c>
      <c r="AC1267" s="28">
        <v>64.29</v>
      </c>
      <c r="AD1267" s="34" t="s">
        <v>54</v>
      </c>
      <c r="AE1267" s="33">
        <v>64.29</v>
      </c>
      <c r="AN1267" s="7" t="s">
        <v>54</v>
      </c>
      <c r="AO1267" s="7" t="s">
        <v>55</v>
      </c>
      <c r="AP1267" s="7" t="s">
        <v>56</v>
      </c>
      <c r="AT1267" s="47" t="s">
        <v>57</v>
      </c>
      <c r="AU1267" s="47" t="s">
        <v>57</v>
      </c>
    </row>
    <row r="1268" spans="1:47">
      <c r="A1268" s="4" t="s">
        <v>48</v>
      </c>
      <c r="C1268" s="21"/>
      <c r="D1268" s="22" t="s">
        <v>49</v>
      </c>
      <c r="G1268" s="23">
        <v>45082</v>
      </c>
      <c r="H1268" s="24" t="s">
        <v>3781</v>
      </c>
      <c r="J1268" s="28" t="s">
        <v>51</v>
      </c>
      <c r="L1268" s="24" t="s">
        <v>3782</v>
      </c>
      <c r="M1268" s="1" t="str">
        <f>"342101197712310618"</f>
        <v>342101197712310618</v>
      </c>
      <c r="N1268" s="24" t="s">
        <v>3782</v>
      </c>
      <c r="O1268" s="1" t="str">
        <f>"342101197712310618"</f>
        <v>342101197712310618</v>
      </c>
      <c r="P1268" s="23" t="s">
        <v>3783</v>
      </c>
      <c r="Q1268" s="23">
        <v>45175</v>
      </c>
      <c r="R1268" s="32">
        <v>45541</v>
      </c>
      <c r="V1268" s="33">
        <v>100</v>
      </c>
      <c r="W1268" s="28">
        <v>64.29</v>
      </c>
      <c r="X1268" s="34" t="s">
        <v>54</v>
      </c>
      <c r="Y1268" s="33">
        <v>64.29</v>
      </c>
      <c r="AC1268" s="28">
        <v>64.29</v>
      </c>
      <c r="AD1268" s="34" t="s">
        <v>54</v>
      </c>
      <c r="AE1268" s="33">
        <v>64.29</v>
      </c>
      <c r="AN1268" s="7" t="s">
        <v>54</v>
      </c>
      <c r="AO1268" s="7" t="s">
        <v>55</v>
      </c>
      <c r="AP1268" s="7" t="s">
        <v>56</v>
      </c>
      <c r="AT1268" s="47" t="s">
        <v>57</v>
      </c>
      <c r="AU1268" s="47" t="s">
        <v>57</v>
      </c>
    </row>
    <row r="1269" spans="1:47">
      <c r="A1269" s="4" t="s">
        <v>48</v>
      </c>
      <c r="C1269" s="21"/>
      <c r="D1269" s="22" t="s">
        <v>49</v>
      </c>
      <c r="G1269" s="23">
        <v>45082</v>
      </c>
      <c r="H1269" s="24" t="s">
        <v>3784</v>
      </c>
      <c r="J1269" s="28" t="s">
        <v>51</v>
      </c>
      <c r="L1269" s="24" t="s">
        <v>3785</v>
      </c>
      <c r="M1269" s="1" t="str">
        <f>"412328198101309021"</f>
        <v>412328198101309021</v>
      </c>
      <c r="N1269" s="24" t="s">
        <v>3785</v>
      </c>
      <c r="O1269" s="1" t="str">
        <f>"412328198101309021"</f>
        <v>412328198101309021</v>
      </c>
      <c r="P1269" s="23" t="s">
        <v>3786</v>
      </c>
      <c r="Q1269" s="23">
        <v>45083</v>
      </c>
      <c r="R1269" s="32">
        <v>45449</v>
      </c>
      <c r="V1269" s="33">
        <v>100</v>
      </c>
      <c r="W1269" s="28">
        <v>64.29</v>
      </c>
      <c r="X1269" s="34" t="s">
        <v>54</v>
      </c>
      <c r="Y1269" s="33">
        <v>64.29</v>
      </c>
      <c r="AC1269" s="28">
        <v>64.29</v>
      </c>
      <c r="AD1269" s="34" t="s">
        <v>54</v>
      </c>
      <c r="AE1269" s="33">
        <v>64.29</v>
      </c>
      <c r="AN1269" s="7" t="s">
        <v>54</v>
      </c>
      <c r="AO1269" s="7" t="s">
        <v>55</v>
      </c>
      <c r="AP1269" s="7" t="s">
        <v>56</v>
      </c>
      <c r="AT1269" s="47" t="s">
        <v>57</v>
      </c>
      <c r="AU1269" s="47" t="s">
        <v>57</v>
      </c>
    </row>
    <row r="1270" spans="1:47">
      <c r="A1270" s="4" t="s">
        <v>48</v>
      </c>
      <c r="C1270" s="21"/>
      <c r="D1270" s="22" t="s">
        <v>49</v>
      </c>
      <c r="G1270" s="23">
        <v>45082</v>
      </c>
      <c r="H1270" s="24" t="s">
        <v>3787</v>
      </c>
      <c r="J1270" s="28" t="s">
        <v>51</v>
      </c>
      <c r="L1270" s="24" t="s">
        <v>3788</v>
      </c>
      <c r="M1270" s="1" t="str">
        <f>"412328198101309021"</f>
        <v>412328198101309021</v>
      </c>
      <c r="N1270" s="24" t="s">
        <v>3788</v>
      </c>
      <c r="O1270" s="1" t="str">
        <f>"412328198101309021"</f>
        <v>412328198101309021</v>
      </c>
      <c r="P1270" s="23" t="s">
        <v>3786</v>
      </c>
      <c r="Q1270" s="23">
        <v>45139</v>
      </c>
      <c r="R1270" s="32">
        <v>45505</v>
      </c>
      <c r="V1270" s="33">
        <v>100</v>
      </c>
      <c r="W1270" s="28">
        <v>64.29</v>
      </c>
      <c r="X1270" s="34" t="s">
        <v>54</v>
      </c>
      <c r="Y1270" s="33">
        <v>64.29</v>
      </c>
      <c r="AC1270" s="28">
        <v>64.29</v>
      </c>
      <c r="AD1270" s="34" t="s">
        <v>54</v>
      </c>
      <c r="AE1270" s="33">
        <v>64.29</v>
      </c>
      <c r="AN1270" s="7" t="s">
        <v>54</v>
      </c>
      <c r="AO1270" s="7" t="s">
        <v>55</v>
      </c>
      <c r="AP1270" s="7" t="s">
        <v>56</v>
      </c>
      <c r="AT1270" s="47" t="s">
        <v>57</v>
      </c>
      <c r="AU1270" s="47" t="s">
        <v>57</v>
      </c>
    </row>
    <row r="1271" spans="1:47">
      <c r="A1271" s="4" t="s">
        <v>48</v>
      </c>
      <c r="C1271" s="21"/>
      <c r="D1271" s="22" t="s">
        <v>49</v>
      </c>
      <c r="G1271" s="23">
        <v>45082</v>
      </c>
      <c r="H1271" s="24" t="s">
        <v>3789</v>
      </c>
      <c r="J1271" s="28" t="s">
        <v>51</v>
      </c>
      <c r="L1271" s="24" t="s">
        <v>3790</v>
      </c>
      <c r="M1271" s="1" t="str">
        <f>"132821197206147912"</f>
        <v>132821197206147912</v>
      </c>
      <c r="N1271" s="24" t="s">
        <v>3790</v>
      </c>
      <c r="O1271" s="1" t="str">
        <f>"132821197206147912"</f>
        <v>132821197206147912</v>
      </c>
      <c r="P1271" s="23" t="s">
        <v>3791</v>
      </c>
      <c r="Q1271" s="23">
        <v>45083</v>
      </c>
      <c r="R1271" s="32">
        <v>45449</v>
      </c>
      <c r="V1271" s="33">
        <v>100</v>
      </c>
      <c r="W1271" s="28">
        <v>64.29</v>
      </c>
      <c r="X1271" s="34" t="s">
        <v>54</v>
      </c>
      <c r="Y1271" s="33">
        <v>64.29</v>
      </c>
      <c r="AC1271" s="28">
        <v>64.29</v>
      </c>
      <c r="AD1271" s="34" t="s">
        <v>54</v>
      </c>
      <c r="AE1271" s="33">
        <v>64.29</v>
      </c>
      <c r="AN1271" s="7" t="s">
        <v>54</v>
      </c>
      <c r="AO1271" s="7" t="s">
        <v>55</v>
      </c>
      <c r="AP1271" s="7" t="s">
        <v>56</v>
      </c>
      <c r="AT1271" s="47" t="s">
        <v>57</v>
      </c>
      <c r="AU1271" s="47" t="s">
        <v>57</v>
      </c>
    </row>
    <row r="1272" spans="1:47">
      <c r="A1272" s="4" t="s">
        <v>48</v>
      </c>
      <c r="C1272" s="21"/>
      <c r="D1272" s="22" t="s">
        <v>49</v>
      </c>
      <c r="G1272" s="23">
        <v>45079</v>
      </c>
      <c r="H1272" s="24" t="s">
        <v>3792</v>
      </c>
      <c r="J1272" s="28" t="s">
        <v>51</v>
      </c>
      <c r="L1272" s="24" t="s">
        <v>3793</v>
      </c>
      <c r="M1272" s="1" t="str">
        <f>"132821194905088284"</f>
        <v>132821194905088284</v>
      </c>
      <c r="N1272" s="24" t="s">
        <v>3793</v>
      </c>
      <c r="O1272" s="1" t="str">
        <f>"132821194905088284"</f>
        <v>132821194905088284</v>
      </c>
      <c r="P1272" s="23" t="s">
        <v>3794</v>
      </c>
      <c r="Q1272" s="23">
        <v>45080</v>
      </c>
      <c r="R1272" s="32">
        <v>45446</v>
      </c>
      <c r="V1272" s="33">
        <v>100</v>
      </c>
      <c r="W1272" s="28">
        <v>64.29</v>
      </c>
      <c r="X1272" s="34" t="s">
        <v>54</v>
      </c>
      <c r="Y1272" s="33">
        <v>64.29</v>
      </c>
      <c r="AC1272" s="28">
        <v>64.29</v>
      </c>
      <c r="AD1272" s="34" t="s">
        <v>54</v>
      </c>
      <c r="AE1272" s="33">
        <v>64.29</v>
      </c>
      <c r="AN1272" s="7" t="s">
        <v>54</v>
      </c>
      <c r="AO1272" s="7" t="s">
        <v>55</v>
      </c>
      <c r="AP1272" s="7" t="s">
        <v>56</v>
      </c>
      <c r="AT1272" s="47" t="s">
        <v>57</v>
      </c>
      <c r="AU1272" s="47" t="s">
        <v>57</v>
      </c>
    </row>
    <row r="1273" spans="1:47">
      <c r="A1273" s="4" t="s">
        <v>48</v>
      </c>
      <c r="C1273" s="21"/>
      <c r="D1273" s="22" t="s">
        <v>49</v>
      </c>
      <c r="G1273" s="23">
        <v>45086</v>
      </c>
      <c r="H1273" s="24" t="s">
        <v>3795</v>
      </c>
      <c r="J1273" s="28" t="s">
        <v>51</v>
      </c>
      <c r="L1273" s="24" t="s">
        <v>3796</v>
      </c>
      <c r="M1273" s="1" t="str">
        <f>"132821196306162525"</f>
        <v>132821196306162525</v>
      </c>
      <c r="N1273" s="24" t="s">
        <v>3796</v>
      </c>
      <c r="O1273" s="1" t="str">
        <f>"132821196306162525"</f>
        <v>132821196306162525</v>
      </c>
      <c r="P1273" s="23" t="s">
        <v>3797</v>
      </c>
      <c r="Q1273" s="23">
        <v>45087</v>
      </c>
      <c r="R1273" s="32">
        <v>45453</v>
      </c>
      <c r="V1273" s="33">
        <v>200</v>
      </c>
      <c r="W1273" s="28">
        <v>64.29</v>
      </c>
      <c r="X1273" s="34" t="s">
        <v>54</v>
      </c>
      <c r="Y1273" s="33">
        <v>128.58</v>
      </c>
      <c r="AC1273" s="28">
        <v>64.29</v>
      </c>
      <c r="AD1273" s="34" t="s">
        <v>54</v>
      </c>
      <c r="AE1273" s="33">
        <v>128.58</v>
      </c>
      <c r="AN1273" s="7" t="s">
        <v>54</v>
      </c>
      <c r="AO1273" s="7" t="s">
        <v>55</v>
      </c>
      <c r="AP1273" s="7" t="s">
        <v>56</v>
      </c>
      <c r="AT1273" s="47" t="s">
        <v>57</v>
      </c>
      <c r="AU1273" s="47" t="s">
        <v>57</v>
      </c>
    </row>
    <row r="1274" spans="1:47">
      <c r="A1274" s="4" t="s">
        <v>48</v>
      </c>
      <c r="C1274" s="21"/>
      <c r="D1274" s="22" t="s">
        <v>49</v>
      </c>
      <c r="G1274" s="23">
        <v>45102</v>
      </c>
      <c r="H1274" s="24" t="s">
        <v>3798</v>
      </c>
      <c r="J1274" s="28" t="s">
        <v>51</v>
      </c>
      <c r="L1274" s="24" t="s">
        <v>3799</v>
      </c>
      <c r="M1274" s="1" t="str">
        <f>"132821195403158283"</f>
        <v>132821195403158283</v>
      </c>
      <c r="N1274" s="24" t="s">
        <v>3799</v>
      </c>
      <c r="O1274" s="1" t="str">
        <f>"132821195403158283"</f>
        <v>132821195403158283</v>
      </c>
      <c r="P1274" s="23" t="s">
        <v>3800</v>
      </c>
      <c r="Q1274" s="23">
        <v>45103</v>
      </c>
      <c r="R1274" s="32">
        <v>45469</v>
      </c>
      <c r="V1274" s="33">
        <v>100</v>
      </c>
      <c r="W1274" s="28">
        <v>64.29</v>
      </c>
      <c r="X1274" s="34" t="s">
        <v>54</v>
      </c>
      <c r="Y1274" s="33">
        <v>64.29</v>
      </c>
      <c r="AC1274" s="28">
        <v>64.29</v>
      </c>
      <c r="AD1274" s="34" t="s">
        <v>54</v>
      </c>
      <c r="AE1274" s="33">
        <v>64.29</v>
      </c>
      <c r="AN1274" s="7" t="s">
        <v>54</v>
      </c>
      <c r="AO1274" s="7" t="s">
        <v>55</v>
      </c>
      <c r="AP1274" s="7" t="s">
        <v>56</v>
      </c>
      <c r="AT1274" s="47" t="s">
        <v>57</v>
      </c>
      <c r="AU1274" s="47" t="s">
        <v>57</v>
      </c>
    </row>
    <row r="1275" spans="1:47">
      <c r="A1275" s="4" t="s">
        <v>48</v>
      </c>
      <c r="C1275" s="21"/>
      <c r="D1275" s="22" t="s">
        <v>49</v>
      </c>
      <c r="G1275" s="23">
        <v>45102</v>
      </c>
      <c r="H1275" s="24" t="s">
        <v>3801</v>
      </c>
      <c r="J1275" s="28" t="s">
        <v>51</v>
      </c>
      <c r="L1275" s="24" t="s">
        <v>3802</v>
      </c>
      <c r="M1275" s="1" t="str">
        <f>"342101198108038026"</f>
        <v>342101198108038026</v>
      </c>
      <c r="N1275" s="24" t="s">
        <v>3802</v>
      </c>
      <c r="O1275" s="1" t="str">
        <f>"342101198108038026"</f>
        <v>342101198108038026</v>
      </c>
      <c r="P1275" s="23" t="s">
        <v>3803</v>
      </c>
      <c r="Q1275" s="23">
        <v>45114</v>
      </c>
      <c r="R1275" s="32">
        <v>45480</v>
      </c>
      <c r="V1275" s="33">
        <v>100</v>
      </c>
      <c r="W1275" s="28">
        <v>64.29</v>
      </c>
      <c r="X1275" s="34" t="s">
        <v>54</v>
      </c>
      <c r="Y1275" s="33">
        <v>64.29</v>
      </c>
      <c r="AC1275" s="28">
        <v>64.29</v>
      </c>
      <c r="AD1275" s="34" t="s">
        <v>54</v>
      </c>
      <c r="AE1275" s="33">
        <v>64.29</v>
      </c>
      <c r="AN1275" s="7" t="s">
        <v>54</v>
      </c>
      <c r="AO1275" s="7" t="s">
        <v>55</v>
      </c>
      <c r="AP1275" s="7" t="s">
        <v>56</v>
      </c>
      <c r="AT1275" s="47" t="s">
        <v>57</v>
      </c>
      <c r="AU1275" s="47" t="s">
        <v>57</v>
      </c>
    </row>
    <row r="1276" spans="1:47">
      <c r="A1276" s="4" t="s">
        <v>48</v>
      </c>
      <c r="C1276" s="21"/>
      <c r="D1276" s="22" t="s">
        <v>49</v>
      </c>
      <c r="G1276" s="23">
        <v>45102</v>
      </c>
      <c r="H1276" s="24" t="s">
        <v>3804</v>
      </c>
      <c r="J1276" s="28" t="s">
        <v>51</v>
      </c>
      <c r="L1276" s="24" t="s">
        <v>3805</v>
      </c>
      <c r="M1276" s="1" t="str">
        <f>"132629197601136519"</f>
        <v>132629197601136519</v>
      </c>
      <c r="N1276" s="24" t="s">
        <v>3805</v>
      </c>
      <c r="O1276" s="1" t="str">
        <f>"132629197601136519"</f>
        <v>132629197601136519</v>
      </c>
      <c r="P1276" s="23" t="s">
        <v>3806</v>
      </c>
      <c r="Q1276" s="23">
        <v>45103</v>
      </c>
      <c r="R1276" s="32">
        <v>45469</v>
      </c>
      <c r="V1276" s="33">
        <v>100</v>
      </c>
      <c r="W1276" s="28">
        <v>64.29</v>
      </c>
      <c r="X1276" s="34" t="s">
        <v>54</v>
      </c>
      <c r="Y1276" s="33">
        <v>64.29</v>
      </c>
      <c r="AC1276" s="28">
        <v>64.29</v>
      </c>
      <c r="AD1276" s="34" t="s">
        <v>54</v>
      </c>
      <c r="AE1276" s="33">
        <v>64.29</v>
      </c>
      <c r="AN1276" s="7" t="s">
        <v>54</v>
      </c>
      <c r="AO1276" s="7" t="s">
        <v>55</v>
      </c>
      <c r="AP1276" s="7" t="s">
        <v>56</v>
      </c>
      <c r="AT1276" s="47" t="s">
        <v>57</v>
      </c>
      <c r="AU1276" s="47" t="s">
        <v>57</v>
      </c>
    </row>
    <row r="1277" spans="1:47">
      <c r="A1277" s="4" t="s">
        <v>48</v>
      </c>
      <c r="C1277" s="21"/>
      <c r="D1277" s="22" t="s">
        <v>49</v>
      </c>
      <c r="G1277" s="23">
        <v>45092</v>
      </c>
      <c r="H1277" s="24" t="s">
        <v>3807</v>
      </c>
      <c r="J1277" s="28" t="s">
        <v>51</v>
      </c>
      <c r="L1277" s="24" t="s">
        <v>3808</v>
      </c>
      <c r="M1277" s="1" t="str">
        <f>"132821196608038271"</f>
        <v>132821196608038271</v>
      </c>
      <c r="N1277" s="24" t="s">
        <v>3808</v>
      </c>
      <c r="O1277" s="1" t="str">
        <f>"132821196608038271"</f>
        <v>132821196608038271</v>
      </c>
      <c r="P1277" s="23" t="s">
        <v>3809</v>
      </c>
      <c r="Q1277" s="23">
        <v>45276</v>
      </c>
      <c r="R1277" s="32">
        <v>45642</v>
      </c>
      <c r="V1277" s="33">
        <v>100</v>
      </c>
      <c r="W1277" s="28">
        <v>64.29</v>
      </c>
      <c r="X1277" s="34" t="s">
        <v>54</v>
      </c>
      <c r="Y1277" s="33">
        <v>64.29</v>
      </c>
      <c r="AC1277" s="28">
        <v>64.29</v>
      </c>
      <c r="AD1277" s="34" t="s">
        <v>54</v>
      </c>
      <c r="AE1277" s="33">
        <v>64.29</v>
      </c>
      <c r="AN1277" s="7" t="s">
        <v>54</v>
      </c>
      <c r="AO1277" s="7" t="s">
        <v>55</v>
      </c>
      <c r="AP1277" s="7" t="s">
        <v>56</v>
      </c>
      <c r="AT1277" s="47" t="s">
        <v>57</v>
      </c>
      <c r="AU1277" s="47" t="s">
        <v>57</v>
      </c>
    </row>
    <row r="1278" spans="1:47">
      <c r="A1278" s="4" t="s">
        <v>48</v>
      </c>
      <c r="C1278" s="21"/>
      <c r="D1278" s="22" t="s">
        <v>49</v>
      </c>
      <c r="G1278" s="23">
        <v>45092</v>
      </c>
      <c r="H1278" s="24" t="s">
        <v>3810</v>
      </c>
      <c r="J1278" s="28" t="s">
        <v>51</v>
      </c>
      <c r="L1278" s="24" t="s">
        <v>3811</v>
      </c>
      <c r="M1278" s="1" t="str">
        <f>"131082198504245847"</f>
        <v>131082198504245847</v>
      </c>
      <c r="N1278" s="24" t="s">
        <v>3811</v>
      </c>
      <c r="O1278" s="1" t="str">
        <f>"131082198504245847"</f>
        <v>131082198504245847</v>
      </c>
      <c r="P1278" s="23" t="s">
        <v>3812</v>
      </c>
      <c r="Q1278" s="23">
        <v>45093</v>
      </c>
      <c r="R1278" s="32">
        <v>45459</v>
      </c>
      <c r="V1278" s="33">
        <v>100</v>
      </c>
      <c r="W1278" s="28">
        <v>64.29</v>
      </c>
      <c r="X1278" s="34" t="s">
        <v>54</v>
      </c>
      <c r="Y1278" s="33">
        <v>64.29</v>
      </c>
      <c r="AC1278" s="28">
        <v>64.29</v>
      </c>
      <c r="AD1278" s="34" t="s">
        <v>54</v>
      </c>
      <c r="AE1278" s="33">
        <v>64.29</v>
      </c>
      <c r="AN1278" s="7" t="s">
        <v>54</v>
      </c>
      <c r="AO1278" s="7" t="s">
        <v>55</v>
      </c>
      <c r="AP1278" s="7" t="s">
        <v>56</v>
      </c>
      <c r="AT1278" s="47" t="s">
        <v>57</v>
      </c>
      <c r="AU1278" s="47" t="s">
        <v>57</v>
      </c>
    </row>
    <row r="1279" spans="1:47">
      <c r="A1279" s="4" t="s">
        <v>48</v>
      </c>
      <c r="C1279" s="21"/>
      <c r="D1279" s="22" t="s">
        <v>49</v>
      </c>
      <c r="G1279" s="23">
        <v>45092</v>
      </c>
      <c r="H1279" s="24" t="s">
        <v>3813</v>
      </c>
      <c r="J1279" s="28" t="s">
        <v>51</v>
      </c>
      <c r="L1279" s="24" t="s">
        <v>3814</v>
      </c>
      <c r="M1279" s="1" t="str">
        <f>"110102199307142316"</f>
        <v>110102199307142316</v>
      </c>
      <c r="N1279" s="24" t="s">
        <v>3814</v>
      </c>
      <c r="O1279" s="1" t="str">
        <f>"110102199307142316"</f>
        <v>110102199307142316</v>
      </c>
      <c r="P1279" s="23" t="s">
        <v>3815</v>
      </c>
      <c r="Q1279" s="23">
        <v>45093</v>
      </c>
      <c r="R1279" s="32">
        <v>45459</v>
      </c>
      <c r="V1279" s="33">
        <v>100</v>
      </c>
      <c r="W1279" s="28">
        <v>64.29</v>
      </c>
      <c r="X1279" s="34" t="s">
        <v>54</v>
      </c>
      <c r="Y1279" s="33">
        <v>64.29</v>
      </c>
      <c r="AC1279" s="28">
        <v>64.29</v>
      </c>
      <c r="AD1279" s="34" t="s">
        <v>54</v>
      </c>
      <c r="AE1279" s="33">
        <v>64.29</v>
      </c>
      <c r="AN1279" s="7" t="s">
        <v>54</v>
      </c>
      <c r="AO1279" s="7" t="s">
        <v>55</v>
      </c>
      <c r="AP1279" s="7" t="s">
        <v>56</v>
      </c>
      <c r="AT1279" s="47" t="s">
        <v>57</v>
      </c>
      <c r="AU1279" s="47" t="s">
        <v>57</v>
      </c>
    </row>
    <row r="1280" spans="1:47">
      <c r="A1280" s="4" t="s">
        <v>48</v>
      </c>
      <c r="C1280" s="21"/>
      <c r="D1280" s="22" t="s">
        <v>49</v>
      </c>
      <c r="G1280" s="23">
        <v>45092</v>
      </c>
      <c r="H1280" s="24" t="s">
        <v>3816</v>
      </c>
      <c r="J1280" s="28" t="s">
        <v>51</v>
      </c>
      <c r="L1280" s="24" t="s">
        <v>3817</v>
      </c>
      <c r="M1280" s="1" t="str">
        <f>"131082198208200433"</f>
        <v>131082198208200433</v>
      </c>
      <c r="N1280" s="24" t="s">
        <v>3817</v>
      </c>
      <c r="O1280" s="1" t="str">
        <f>"131082198208200433"</f>
        <v>131082198208200433</v>
      </c>
      <c r="P1280" s="23" t="s">
        <v>3818</v>
      </c>
      <c r="Q1280" s="23">
        <v>45276</v>
      </c>
      <c r="R1280" s="32">
        <v>45642</v>
      </c>
      <c r="V1280" s="33">
        <v>100</v>
      </c>
      <c r="W1280" s="28">
        <v>64.29</v>
      </c>
      <c r="X1280" s="34" t="s">
        <v>54</v>
      </c>
      <c r="Y1280" s="33">
        <v>64.29</v>
      </c>
      <c r="AC1280" s="28">
        <v>64.29</v>
      </c>
      <c r="AD1280" s="34" t="s">
        <v>54</v>
      </c>
      <c r="AE1280" s="33">
        <v>64.29</v>
      </c>
      <c r="AN1280" s="7" t="s">
        <v>54</v>
      </c>
      <c r="AO1280" s="7" t="s">
        <v>55</v>
      </c>
      <c r="AP1280" s="7" t="s">
        <v>56</v>
      </c>
      <c r="AT1280" s="47" t="s">
        <v>57</v>
      </c>
      <c r="AU1280" s="47" t="s">
        <v>57</v>
      </c>
    </row>
    <row r="1281" spans="1:47">
      <c r="A1281" s="4" t="s">
        <v>48</v>
      </c>
      <c r="C1281" s="21"/>
      <c r="D1281" s="22" t="s">
        <v>49</v>
      </c>
      <c r="G1281" s="23">
        <v>45091</v>
      </c>
      <c r="H1281" s="24" t="s">
        <v>3819</v>
      </c>
      <c r="J1281" s="28" t="s">
        <v>51</v>
      </c>
      <c r="L1281" s="24" t="s">
        <v>3820</v>
      </c>
      <c r="M1281" s="1" t="str">
        <f>"342121194403100010"</f>
        <v>342121194403100010</v>
      </c>
      <c r="N1281" s="24" t="s">
        <v>3820</v>
      </c>
      <c r="O1281" s="1" t="str">
        <f>"342121194403100010"</f>
        <v>342121194403100010</v>
      </c>
      <c r="P1281" s="23" t="s">
        <v>3821</v>
      </c>
      <c r="Q1281" s="23">
        <v>45092</v>
      </c>
      <c r="R1281" s="32">
        <v>45458</v>
      </c>
      <c r="V1281" s="33">
        <v>100</v>
      </c>
      <c r="W1281" s="28">
        <v>64.29</v>
      </c>
      <c r="X1281" s="34" t="s">
        <v>54</v>
      </c>
      <c r="Y1281" s="33">
        <v>64.29</v>
      </c>
      <c r="AC1281" s="28">
        <v>64.29</v>
      </c>
      <c r="AD1281" s="34" t="s">
        <v>54</v>
      </c>
      <c r="AE1281" s="33">
        <v>64.29</v>
      </c>
      <c r="AN1281" s="7" t="s">
        <v>54</v>
      </c>
      <c r="AO1281" s="7" t="s">
        <v>55</v>
      </c>
      <c r="AP1281" s="7" t="s">
        <v>56</v>
      </c>
      <c r="AT1281" s="47" t="s">
        <v>57</v>
      </c>
      <c r="AU1281" s="47" t="s">
        <v>57</v>
      </c>
    </row>
    <row r="1282" spans="1:47">
      <c r="A1282" s="4" t="s">
        <v>48</v>
      </c>
      <c r="C1282" s="21"/>
      <c r="D1282" s="22" t="s">
        <v>49</v>
      </c>
      <c r="G1282" s="23">
        <v>45082</v>
      </c>
      <c r="H1282" s="24" t="s">
        <v>3822</v>
      </c>
      <c r="J1282" s="28" t="s">
        <v>51</v>
      </c>
      <c r="L1282" s="24" t="s">
        <v>3823</v>
      </c>
      <c r="M1282" s="1" t="str">
        <f>"132924197207108012"</f>
        <v>132924197207108012</v>
      </c>
      <c r="N1282" s="24" t="s">
        <v>3823</v>
      </c>
      <c r="O1282" s="1" t="str">
        <f>"132924197207108012"</f>
        <v>132924197207108012</v>
      </c>
      <c r="P1282" s="23" t="s">
        <v>3824</v>
      </c>
      <c r="Q1282" s="23">
        <v>45083</v>
      </c>
      <c r="R1282" s="32">
        <v>45449</v>
      </c>
      <c r="V1282" s="33">
        <v>100</v>
      </c>
      <c r="W1282" s="28">
        <v>64.29</v>
      </c>
      <c r="X1282" s="34" t="s">
        <v>54</v>
      </c>
      <c r="Y1282" s="33">
        <v>64.29</v>
      </c>
      <c r="AC1282" s="28">
        <v>64.29</v>
      </c>
      <c r="AD1282" s="34" t="s">
        <v>54</v>
      </c>
      <c r="AE1282" s="33">
        <v>64.29</v>
      </c>
      <c r="AN1282" s="7" t="s">
        <v>54</v>
      </c>
      <c r="AO1282" s="7" t="s">
        <v>55</v>
      </c>
      <c r="AP1282" s="7" t="s">
        <v>56</v>
      </c>
      <c r="AT1282" s="47" t="s">
        <v>57</v>
      </c>
      <c r="AU1282" s="47" t="s">
        <v>57</v>
      </c>
    </row>
    <row r="1283" spans="1:47">
      <c r="A1283" s="4" t="s">
        <v>48</v>
      </c>
      <c r="C1283" s="21"/>
      <c r="D1283" s="22" t="s">
        <v>49</v>
      </c>
      <c r="G1283" s="23">
        <v>45079</v>
      </c>
      <c r="H1283" s="24" t="s">
        <v>3825</v>
      </c>
      <c r="J1283" s="28" t="s">
        <v>51</v>
      </c>
      <c r="L1283" s="24" t="s">
        <v>3826</v>
      </c>
      <c r="M1283" s="1" t="str">
        <f>"132628197907175629"</f>
        <v>132628197907175629</v>
      </c>
      <c r="N1283" s="24" t="s">
        <v>3826</v>
      </c>
      <c r="O1283" s="1" t="str">
        <f>"132628197907175629"</f>
        <v>132628197907175629</v>
      </c>
      <c r="P1283" s="23" t="s">
        <v>3827</v>
      </c>
      <c r="Q1283" s="23">
        <v>45080</v>
      </c>
      <c r="R1283" s="32">
        <v>45446</v>
      </c>
      <c r="V1283" s="33">
        <v>100</v>
      </c>
      <c r="W1283" s="28">
        <v>64.29</v>
      </c>
      <c r="X1283" s="34" t="s">
        <v>54</v>
      </c>
      <c r="Y1283" s="33">
        <v>64.29</v>
      </c>
      <c r="AC1283" s="28">
        <v>64.29</v>
      </c>
      <c r="AD1283" s="34" t="s">
        <v>54</v>
      </c>
      <c r="AE1283" s="33">
        <v>64.29</v>
      </c>
      <c r="AN1283" s="7" t="s">
        <v>54</v>
      </c>
      <c r="AO1283" s="7" t="s">
        <v>55</v>
      </c>
      <c r="AP1283" s="7" t="s">
        <v>56</v>
      </c>
      <c r="AT1283" s="47" t="s">
        <v>57</v>
      </c>
      <c r="AU1283" s="47" t="s">
        <v>57</v>
      </c>
    </row>
    <row r="1284" spans="1:47">
      <c r="A1284" s="4" t="s">
        <v>48</v>
      </c>
      <c r="C1284" s="21"/>
      <c r="D1284" s="22" t="s">
        <v>49</v>
      </c>
      <c r="G1284" s="23">
        <v>45079</v>
      </c>
      <c r="H1284" s="24" t="s">
        <v>3828</v>
      </c>
      <c r="J1284" s="28" t="s">
        <v>51</v>
      </c>
      <c r="L1284" s="24" t="s">
        <v>3829</v>
      </c>
      <c r="M1284" s="1" t="str">
        <f>"131082197002188796"</f>
        <v>131082197002188796</v>
      </c>
      <c r="N1284" s="24" t="s">
        <v>3829</v>
      </c>
      <c r="O1284" s="1" t="str">
        <f>"131082197002188796"</f>
        <v>131082197002188796</v>
      </c>
      <c r="P1284" s="23" t="s">
        <v>3830</v>
      </c>
      <c r="Q1284" s="23">
        <v>45140</v>
      </c>
      <c r="R1284" s="32">
        <v>45506</v>
      </c>
      <c r="V1284" s="33">
        <v>100</v>
      </c>
      <c r="W1284" s="28">
        <v>64.29</v>
      </c>
      <c r="X1284" s="34" t="s">
        <v>54</v>
      </c>
      <c r="Y1284" s="33">
        <v>64.29</v>
      </c>
      <c r="AC1284" s="28">
        <v>64.29</v>
      </c>
      <c r="AD1284" s="34" t="s">
        <v>54</v>
      </c>
      <c r="AE1284" s="33">
        <v>64.29</v>
      </c>
      <c r="AN1284" s="7" t="s">
        <v>54</v>
      </c>
      <c r="AO1284" s="7" t="s">
        <v>55</v>
      </c>
      <c r="AP1284" s="7" t="s">
        <v>56</v>
      </c>
      <c r="AT1284" s="47" t="s">
        <v>57</v>
      </c>
      <c r="AU1284" s="47" t="s">
        <v>57</v>
      </c>
    </row>
    <row r="1285" spans="1:47">
      <c r="A1285" s="4" t="s">
        <v>48</v>
      </c>
      <c r="C1285" s="21"/>
      <c r="D1285" s="22" t="s">
        <v>49</v>
      </c>
      <c r="G1285" s="23">
        <v>45080</v>
      </c>
      <c r="H1285" s="24" t="s">
        <v>3831</v>
      </c>
      <c r="J1285" s="28" t="s">
        <v>51</v>
      </c>
      <c r="L1285" s="24" t="s">
        <v>3832</v>
      </c>
      <c r="M1285" s="1" t="str">
        <f>"342121196305137310"</f>
        <v>342121196305137310</v>
      </c>
      <c r="N1285" s="24" t="s">
        <v>3832</v>
      </c>
      <c r="O1285" s="1" t="str">
        <f>"342121196305137310"</f>
        <v>342121196305137310</v>
      </c>
      <c r="P1285" s="23" t="s">
        <v>3833</v>
      </c>
      <c r="Q1285" s="23">
        <v>45081</v>
      </c>
      <c r="R1285" s="32">
        <v>45447</v>
      </c>
      <c r="V1285" s="33">
        <v>100</v>
      </c>
      <c r="W1285" s="28">
        <v>64.29</v>
      </c>
      <c r="X1285" s="34" t="s">
        <v>54</v>
      </c>
      <c r="Y1285" s="33">
        <v>64.29</v>
      </c>
      <c r="AC1285" s="28">
        <v>64.29</v>
      </c>
      <c r="AD1285" s="34" t="s">
        <v>54</v>
      </c>
      <c r="AE1285" s="33">
        <v>64.29</v>
      </c>
      <c r="AN1285" s="7" t="s">
        <v>54</v>
      </c>
      <c r="AO1285" s="7" t="s">
        <v>55</v>
      </c>
      <c r="AP1285" s="7" t="s">
        <v>56</v>
      </c>
      <c r="AT1285" s="47" t="s">
        <v>57</v>
      </c>
      <c r="AU1285" s="47" t="s">
        <v>57</v>
      </c>
    </row>
    <row r="1286" spans="1:47">
      <c r="A1286" s="4" t="s">
        <v>48</v>
      </c>
      <c r="C1286" s="21"/>
      <c r="D1286" s="22" t="s">
        <v>49</v>
      </c>
      <c r="G1286" s="23">
        <v>45082</v>
      </c>
      <c r="H1286" s="24" t="s">
        <v>3834</v>
      </c>
      <c r="J1286" s="28" t="s">
        <v>51</v>
      </c>
      <c r="L1286" s="24" t="s">
        <v>3835</v>
      </c>
      <c r="M1286" s="1" t="str">
        <f>"131002197802153610"</f>
        <v>131002197802153610</v>
      </c>
      <c r="N1286" s="24" t="s">
        <v>3835</v>
      </c>
      <c r="O1286" s="1" t="str">
        <f>"131002197802153610"</f>
        <v>131002197802153610</v>
      </c>
      <c r="P1286" s="23" t="s">
        <v>3836</v>
      </c>
      <c r="Q1286" s="23">
        <v>45291</v>
      </c>
      <c r="R1286" s="32">
        <v>45657</v>
      </c>
      <c r="V1286" s="33">
        <v>100</v>
      </c>
      <c r="W1286" s="28">
        <v>64.29</v>
      </c>
      <c r="X1286" s="34" t="s">
        <v>54</v>
      </c>
      <c r="Y1286" s="33">
        <v>64.29</v>
      </c>
      <c r="AC1286" s="28">
        <v>64.29</v>
      </c>
      <c r="AD1286" s="34" t="s">
        <v>54</v>
      </c>
      <c r="AE1286" s="33">
        <v>64.29</v>
      </c>
      <c r="AN1286" s="7" t="s">
        <v>54</v>
      </c>
      <c r="AO1286" s="7" t="s">
        <v>55</v>
      </c>
      <c r="AP1286" s="7" t="s">
        <v>56</v>
      </c>
      <c r="AT1286" s="47" t="s">
        <v>57</v>
      </c>
      <c r="AU1286" s="47" t="s">
        <v>57</v>
      </c>
    </row>
    <row r="1287" spans="1:47">
      <c r="A1287" s="4" t="s">
        <v>48</v>
      </c>
      <c r="C1287" s="21"/>
      <c r="D1287" s="22" t="s">
        <v>49</v>
      </c>
      <c r="G1287" s="23">
        <v>45079</v>
      </c>
      <c r="H1287" s="24" t="s">
        <v>3837</v>
      </c>
      <c r="J1287" s="28" t="s">
        <v>51</v>
      </c>
      <c r="L1287" s="24" t="s">
        <v>3838</v>
      </c>
      <c r="M1287" s="1" t="str">
        <f>"341202195607041913"</f>
        <v>341202195607041913</v>
      </c>
      <c r="N1287" s="24" t="s">
        <v>3838</v>
      </c>
      <c r="O1287" s="1" t="str">
        <f>"341202195607041913"</f>
        <v>341202195607041913</v>
      </c>
      <c r="P1287" s="23" t="s">
        <v>3839</v>
      </c>
      <c r="Q1287" s="23">
        <v>45080</v>
      </c>
      <c r="R1287" s="32">
        <v>45446</v>
      </c>
      <c r="V1287" s="33">
        <v>100</v>
      </c>
      <c r="W1287" s="28">
        <v>64.29</v>
      </c>
      <c r="X1287" s="34" t="s">
        <v>54</v>
      </c>
      <c r="Y1287" s="33">
        <v>64.29</v>
      </c>
      <c r="AC1287" s="28">
        <v>64.29</v>
      </c>
      <c r="AD1287" s="34" t="s">
        <v>54</v>
      </c>
      <c r="AE1287" s="33">
        <v>64.29</v>
      </c>
      <c r="AN1287" s="7" t="s">
        <v>54</v>
      </c>
      <c r="AO1287" s="7" t="s">
        <v>55</v>
      </c>
      <c r="AP1287" s="7" t="s">
        <v>56</v>
      </c>
      <c r="AT1287" s="47" t="s">
        <v>57</v>
      </c>
      <c r="AU1287" s="47" t="s">
        <v>57</v>
      </c>
    </row>
    <row r="1288" spans="1:47">
      <c r="A1288" s="4" t="s">
        <v>48</v>
      </c>
      <c r="C1288" s="21"/>
      <c r="D1288" s="22" t="s">
        <v>49</v>
      </c>
      <c r="G1288" s="23">
        <v>45082</v>
      </c>
      <c r="H1288" s="24" t="s">
        <v>3840</v>
      </c>
      <c r="J1288" s="28" t="s">
        <v>51</v>
      </c>
      <c r="L1288" s="24" t="s">
        <v>3841</v>
      </c>
      <c r="M1288" s="1" t="str">
        <f>"131082198606145521"</f>
        <v>131082198606145521</v>
      </c>
      <c r="N1288" s="24" t="s">
        <v>3841</v>
      </c>
      <c r="O1288" s="1" t="str">
        <f>"131082198606145521"</f>
        <v>131082198606145521</v>
      </c>
      <c r="P1288" s="23" t="s">
        <v>3842</v>
      </c>
      <c r="Q1288" s="23">
        <v>45083</v>
      </c>
      <c r="R1288" s="32">
        <v>45449</v>
      </c>
      <c r="V1288" s="33">
        <v>100</v>
      </c>
      <c r="W1288" s="28">
        <v>64.29</v>
      </c>
      <c r="X1288" s="34" t="s">
        <v>54</v>
      </c>
      <c r="Y1288" s="33">
        <v>64.29</v>
      </c>
      <c r="AC1288" s="28">
        <v>64.29</v>
      </c>
      <c r="AD1288" s="34" t="s">
        <v>54</v>
      </c>
      <c r="AE1288" s="33">
        <v>64.29</v>
      </c>
      <c r="AN1288" s="7" t="s">
        <v>54</v>
      </c>
      <c r="AO1288" s="7" t="s">
        <v>55</v>
      </c>
      <c r="AP1288" s="7" t="s">
        <v>56</v>
      </c>
      <c r="AT1288" s="47" t="s">
        <v>57</v>
      </c>
      <c r="AU1288" s="47" t="s">
        <v>57</v>
      </c>
    </row>
    <row r="1289" spans="1:47">
      <c r="A1289" s="4" t="s">
        <v>48</v>
      </c>
      <c r="C1289" s="21"/>
      <c r="D1289" s="22" t="s">
        <v>49</v>
      </c>
      <c r="G1289" s="23">
        <v>45082</v>
      </c>
      <c r="H1289" s="24" t="s">
        <v>3843</v>
      </c>
      <c r="J1289" s="28" t="s">
        <v>51</v>
      </c>
      <c r="L1289" s="24" t="s">
        <v>3844</v>
      </c>
      <c r="M1289" s="1" t="str">
        <f>"130528198502231212"</f>
        <v>130528198502231212</v>
      </c>
      <c r="N1289" s="24" t="s">
        <v>3844</v>
      </c>
      <c r="O1289" s="1" t="str">
        <f>"130528198502231212"</f>
        <v>130528198502231212</v>
      </c>
      <c r="P1289" s="23" t="s">
        <v>3845</v>
      </c>
      <c r="Q1289" s="23">
        <v>45083</v>
      </c>
      <c r="R1289" s="32">
        <v>45449</v>
      </c>
      <c r="V1289" s="33">
        <v>100</v>
      </c>
      <c r="W1289" s="28">
        <v>64.29</v>
      </c>
      <c r="X1289" s="34" t="s">
        <v>54</v>
      </c>
      <c r="Y1289" s="33">
        <v>64.29</v>
      </c>
      <c r="AC1289" s="28">
        <v>64.29</v>
      </c>
      <c r="AD1289" s="34" t="s">
        <v>54</v>
      </c>
      <c r="AE1289" s="33">
        <v>64.29</v>
      </c>
      <c r="AN1289" s="7" t="s">
        <v>54</v>
      </c>
      <c r="AO1289" s="7" t="s">
        <v>55</v>
      </c>
      <c r="AP1289" s="7" t="s">
        <v>56</v>
      </c>
      <c r="AT1289" s="47" t="s">
        <v>57</v>
      </c>
      <c r="AU1289" s="47" t="s">
        <v>57</v>
      </c>
    </row>
    <row r="1290" spans="1:47">
      <c r="A1290" s="4" t="s">
        <v>48</v>
      </c>
      <c r="C1290" s="21"/>
      <c r="D1290" s="22" t="s">
        <v>49</v>
      </c>
      <c r="G1290" s="23">
        <v>45084</v>
      </c>
      <c r="H1290" s="24" t="s">
        <v>3846</v>
      </c>
      <c r="J1290" s="28" t="s">
        <v>51</v>
      </c>
      <c r="L1290" s="24" t="s">
        <v>3847</v>
      </c>
      <c r="M1290" s="1" t="str">
        <f>"341202199001141926"</f>
        <v>341202199001141926</v>
      </c>
      <c r="N1290" s="24" t="s">
        <v>3847</v>
      </c>
      <c r="O1290" s="1" t="str">
        <f>"341202199001141926"</f>
        <v>341202199001141926</v>
      </c>
      <c r="P1290" s="23" t="s">
        <v>3848</v>
      </c>
      <c r="Q1290" s="23">
        <v>45085</v>
      </c>
      <c r="R1290" s="32">
        <v>45451</v>
      </c>
      <c r="V1290" s="33">
        <v>200</v>
      </c>
      <c r="W1290" s="28">
        <v>64.29</v>
      </c>
      <c r="X1290" s="34" t="s">
        <v>54</v>
      </c>
      <c r="Y1290" s="33">
        <v>128.58</v>
      </c>
      <c r="AC1290" s="28">
        <v>64.29</v>
      </c>
      <c r="AD1290" s="34" t="s">
        <v>54</v>
      </c>
      <c r="AE1290" s="33">
        <v>128.58</v>
      </c>
      <c r="AN1290" s="7" t="s">
        <v>54</v>
      </c>
      <c r="AO1290" s="7" t="s">
        <v>55</v>
      </c>
      <c r="AP1290" s="7" t="s">
        <v>56</v>
      </c>
      <c r="AT1290" s="47" t="s">
        <v>57</v>
      </c>
      <c r="AU1290" s="47" t="s">
        <v>57</v>
      </c>
    </row>
    <row r="1291" spans="1:47">
      <c r="A1291" s="4" t="s">
        <v>48</v>
      </c>
      <c r="C1291" s="21"/>
      <c r="D1291" s="22" t="s">
        <v>49</v>
      </c>
      <c r="G1291" s="23">
        <v>45102</v>
      </c>
      <c r="H1291" s="24" t="s">
        <v>3849</v>
      </c>
      <c r="J1291" s="28" t="s">
        <v>51</v>
      </c>
      <c r="L1291" s="24" t="s">
        <v>2363</v>
      </c>
      <c r="M1291" s="1" t="str">
        <f>"341202198501103526"</f>
        <v>341202198501103526</v>
      </c>
      <c r="N1291" s="24" t="s">
        <v>2363</v>
      </c>
      <c r="O1291" s="1" t="str">
        <f>"341202198501103526"</f>
        <v>341202198501103526</v>
      </c>
      <c r="P1291" s="23" t="s">
        <v>3850</v>
      </c>
      <c r="Q1291" s="23">
        <v>45103</v>
      </c>
      <c r="R1291" s="32">
        <v>45469</v>
      </c>
      <c r="V1291" s="33">
        <v>50</v>
      </c>
      <c r="W1291" s="28">
        <v>64.29</v>
      </c>
      <c r="X1291" s="34" t="s">
        <v>54</v>
      </c>
      <c r="Y1291" s="33">
        <v>32.15</v>
      </c>
      <c r="AC1291" s="28">
        <v>64.29</v>
      </c>
      <c r="AD1291" s="34" t="s">
        <v>54</v>
      </c>
      <c r="AE1291" s="33">
        <v>32.15</v>
      </c>
      <c r="AN1291" s="7" t="s">
        <v>54</v>
      </c>
      <c r="AO1291" s="7" t="s">
        <v>55</v>
      </c>
      <c r="AP1291" s="7" t="s">
        <v>56</v>
      </c>
      <c r="AT1291" s="47" t="s">
        <v>57</v>
      </c>
      <c r="AU1291" s="47" t="s">
        <v>57</v>
      </c>
    </row>
    <row r="1292" spans="1:47">
      <c r="A1292" s="4" t="s">
        <v>48</v>
      </c>
      <c r="C1292" s="21"/>
      <c r="D1292" s="22" t="s">
        <v>49</v>
      </c>
      <c r="G1292" s="23">
        <v>45100</v>
      </c>
      <c r="H1292" s="24" t="s">
        <v>3851</v>
      </c>
      <c r="J1292" s="28" t="s">
        <v>51</v>
      </c>
      <c r="L1292" s="24" t="s">
        <v>3852</v>
      </c>
      <c r="M1292" s="1" t="str">
        <f>"340323197812280417"</f>
        <v>340323197812280417</v>
      </c>
      <c r="N1292" s="24" t="s">
        <v>3852</v>
      </c>
      <c r="O1292" s="1" t="str">
        <f>"340323197812280417"</f>
        <v>340323197812280417</v>
      </c>
      <c r="P1292" s="23" t="s">
        <v>3853</v>
      </c>
      <c r="Q1292" s="23">
        <v>45101</v>
      </c>
      <c r="R1292" s="32">
        <v>45467</v>
      </c>
      <c r="V1292" s="33">
        <v>50</v>
      </c>
      <c r="W1292" s="28">
        <v>64.29</v>
      </c>
      <c r="X1292" s="34" t="s">
        <v>54</v>
      </c>
      <c r="Y1292" s="33">
        <v>32.15</v>
      </c>
      <c r="AC1292" s="28">
        <v>64.29</v>
      </c>
      <c r="AD1292" s="34" t="s">
        <v>54</v>
      </c>
      <c r="AE1292" s="33">
        <v>32.15</v>
      </c>
      <c r="AN1292" s="7" t="s">
        <v>54</v>
      </c>
      <c r="AO1292" s="7" t="s">
        <v>55</v>
      </c>
      <c r="AP1292" s="7" t="s">
        <v>56</v>
      </c>
      <c r="AT1292" s="47" t="s">
        <v>57</v>
      </c>
      <c r="AU1292" s="47" t="s">
        <v>57</v>
      </c>
    </row>
    <row r="1293" spans="1:47">
      <c r="A1293" s="4" t="s">
        <v>48</v>
      </c>
      <c r="C1293" s="21"/>
      <c r="D1293" s="22" t="s">
        <v>49</v>
      </c>
      <c r="G1293" s="23">
        <v>45099</v>
      </c>
      <c r="H1293" s="24" t="s">
        <v>3854</v>
      </c>
      <c r="J1293" s="28" t="s">
        <v>51</v>
      </c>
      <c r="L1293" s="24" t="s">
        <v>3855</v>
      </c>
      <c r="M1293" s="1" t="str">
        <f>"132825197610251629"</f>
        <v>132825197610251629</v>
      </c>
      <c r="N1293" s="24" t="s">
        <v>3855</v>
      </c>
      <c r="O1293" s="1" t="str">
        <f>"132825197610251629"</f>
        <v>132825197610251629</v>
      </c>
      <c r="P1293" s="23" t="s">
        <v>3856</v>
      </c>
      <c r="Q1293" s="23">
        <v>45100</v>
      </c>
      <c r="R1293" s="32">
        <v>45466</v>
      </c>
      <c r="V1293" s="33">
        <v>50</v>
      </c>
      <c r="W1293" s="28">
        <v>64.29</v>
      </c>
      <c r="X1293" s="34" t="s">
        <v>54</v>
      </c>
      <c r="Y1293" s="33">
        <v>32.15</v>
      </c>
      <c r="AC1293" s="28">
        <v>64.29</v>
      </c>
      <c r="AD1293" s="34" t="s">
        <v>54</v>
      </c>
      <c r="AE1293" s="33">
        <v>32.15</v>
      </c>
      <c r="AN1293" s="7" t="s">
        <v>54</v>
      </c>
      <c r="AO1293" s="7" t="s">
        <v>55</v>
      </c>
      <c r="AP1293" s="7" t="s">
        <v>56</v>
      </c>
      <c r="AT1293" s="47" t="s">
        <v>57</v>
      </c>
      <c r="AU1293" s="47" t="s">
        <v>57</v>
      </c>
    </row>
    <row r="1294" spans="1:47">
      <c r="A1294" s="4" t="s">
        <v>48</v>
      </c>
      <c r="C1294" s="21"/>
      <c r="D1294" s="22" t="s">
        <v>49</v>
      </c>
      <c r="G1294" s="23">
        <v>45102</v>
      </c>
      <c r="H1294" s="24" t="s">
        <v>3857</v>
      </c>
      <c r="J1294" s="28" t="s">
        <v>51</v>
      </c>
      <c r="L1294" s="24" t="s">
        <v>3858</v>
      </c>
      <c r="M1294" s="1" t="str">
        <f>"341202199409263126"</f>
        <v>341202199409263126</v>
      </c>
      <c r="N1294" s="24" t="s">
        <v>3858</v>
      </c>
      <c r="O1294" s="1" t="str">
        <f>"341202199409263126"</f>
        <v>341202199409263126</v>
      </c>
      <c r="P1294" s="23" t="s">
        <v>3859</v>
      </c>
      <c r="Q1294" s="23">
        <v>45103</v>
      </c>
      <c r="R1294" s="32">
        <v>45469</v>
      </c>
      <c r="V1294" s="33">
        <v>50</v>
      </c>
      <c r="W1294" s="28">
        <v>64.29</v>
      </c>
      <c r="X1294" s="34" t="s">
        <v>54</v>
      </c>
      <c r="Y1294" s="33">
        <v>32.15</v>
      </c>
      <c r="AC1294" s="28">
        <v>64.29</v>
      </c>
      <c r="AD1294" s="34" t="s">
        <v>54</v>
      </c>
      <c r="AE1294" s="33">
        <v>32.15</v>
      </c>
      <c r="AN1294" s="7" t="s">
        <v>54</v>
      </c>
      <c r="AO1294" s="7" t="s">
        <v>55</v>
      </c>
      <c r="AP1294" s="7" t="s">
        <v>56</v>
      </c>
      <c r="AT1294" s="47" t="s">
        <v>57</v>
      </c>
      <c r="AU1294" s="47" t="s">
        <v>57</v>
      </c>
    </row>
    <row r="1295" spans="1:47">
      <c r="A1295" s="4" t="s">
        <v>48</v>
      </c>
      <c r="C1295" s="21"/>
      <c r="D1295" s="22" t="s">
        <v>49</v>
      </c>
      <c r="G1295" s="23">
        <v>45102</v>
      </c>
      <c r="H1295" s="24" t="s">
        <v>3860</v>
      </c>
      <c r="J1295" s="28" t="s">
        <v>51</v>
      </c>
      <c r="L1295" s="24" t="s">
        <v>3861</v>
      </c>
      <c r="M1295" s="1" t="str">
        <f>"342101197208143013"</f>
        <v>342101197208143013</v>
      </c>
      <c r="N1295" s="24" t="s">
        <v>3861</v>
      </c>
      <c r="O1295" s="1" t="str">
        <f>"342101197208143013"</f>
        <v>342101197208143013</v>
      </c>
      <c r="P1295" s="23" t="s">
        <v>3862</v>
      </c>
      <c r="Q1295" s="23">
        <v>45103</v>
      </c>
      <c r="R1295" s="32">
        <v>45469</v>
      </c>
      <c r="V1295" s="33">
        <v>100</v>
      </c>
      <c r="W1295" s="28">
        <v>64.29</v>
      </c>
      <c r="X1295" s="34" t="s">
        <v>54</v>
      </c>
      <c r="Y1295" s="33">
        <v>64.29</v>
      </c>
      <c r="AC1295" s="28">
        <v>64.29</v>
      </c>
      <c r="AD1295" s="34" t="s">
        <v>54</v>
      </c>
      <c r="AE1295" s="33">
        <v>64.29</v>
      </c>
      <c r="AN1295" s="7" t="s">
        <v>54</v>
      </c>
      <c r="AO1295" s="7" t="s">
        <v>55</v>
      </c>
      <c r="AP1295" s="7" t="s">
        <v>56</v>
      </c>
      <c r="AT1295" s="47" t="s">
        <v>57</v>
      </c>
      <c r="AU1295" s="47" t="s">
        <v>57</v>
      </c>
    </row>
    <row r="1296" spans="1:47">
      <c r="A1296" s="4" t="s">
        <v>48</v>
      </c>
      <c r="C1296" s="21"/>
      <c r="D1296" s="22" t="s">
        <v>49</v>
      </c>
      <c r="G1296" s="23">
        <v>45102</v>
      </c>
      <c r="H1296" s="24" t="s">
        <v>3863</v>
      </c>
      <c r="J1296" s="28" t="s">
        <v>51</v>
      </c>
      <c r="L1296" s="24" t="s">
        <v>3864</v>
      </c>
      <c r="M1296" s="1" t="str">
        <f>"341202199112012780"</f>
        <v>341202199112012780</v>
      </c>
      <c r="N1296" s="24" t="s">
        <v>3864</v>
      </c>
      <c r="O1296" s="1" t="str">
        <f>"341202199112012780"</f>
        <v>341202199112012780</v>
      </c>
      <c r="P1296" s="23" t="s">
        <v>3865</v>
      </c>
      <c r="Q1296" s="23">
        <v>45103</v>
      </c>
      <c r="R1296" s="32">
        <v>45469</v>
      </c>
      <c r="V1296" s="33">
        <v>100</v>
      </c>
      <c r="W1296" s="28">
        <v>64.29</v>
      </c>
      <c r="X1296" s="34" t="s">
        <v>54</v>
      </c>
      <c r="Y1296" s="33">
        <v>64.29</v>
      </c>
      <c r="AC1296" s="28">
        <v>64.29</v>
      </c>
      <c r="AD1296" s="34" t="s">
        <v>54</v>
      </c>
      <c r="AE1296" s="33">
        <v>64.29</v>
      </c>
      <c r="AN1296" s="7" t="s">
        <v>54</v>
      </c>
      <c r="AO1296" s="7" t="s">
        <v>55</v>
      </c>
      <c r="AP1296" s="7" t="s">
        <v>56</v>
      </c>
      <c r="AT1296" s="47" t="s">
        <v>57</v>
      </c>
      <c r="AU1296" s="47" t="s">
        <v>57</v>
      </c>
    </row>
    <row r="1297" spans="1:47">
      <c r="A1297" s="4" t="s">
        <v>48</v>
      </c>
      <c r="C1297" s="21"/>
      <c r="D1297" s="22" t="s">
        <v>49</v>
      </c>
      <c r="G1297" s="23">
        <v>45100</v>
      </c>
      <c r="H1297" s="24" t="s">
        <v>3866</v>
      </c>
      <c r="J1297" s="28" t="s">
        <v>51</v>
      </c>
      <c r="L1297" s="24" t="s">
        <v>3867</v>
      </c>
      <c r="M1297" s="1" t="str">
        <f>"342101195805130414"</f>
        <v>342101195805130414</v>
      </c>
      <c r="N1297" s="24" t="s">
        <v>3867</v>
      </c>
      <c r="O1297" s="1" t="str">
        <f>"342101195805130414"</f>
        <v>342101195805130414</v>
      </c>
      <c r="P1297" s="23" t="s">
        <v>3868</v>
      </c>
      <c r="Q1297" s="23">
        <v>45101</v>
      </c>
      <c r="R1297" s="32">
        <v>45467</v>
      </c>
      <c r="V1297" s="33">
        <v>100</v>
      </c>
      <c r="W1297" s="28">
        <v>64.29</v>
      </c>
      <c r="X1297" s="34" t="s">
        <v>54</v>
      </c>
      <c r="Y1297" s="33">
        <v>64.29</v>
      </c>
      <c r="AC1297" s="28">
        <v>64.29</v>
      </c>
      <c r="AD1297" s="34" t="s">
        <v>54</v>
      </c>
      <c r="AE1297" s="33">
        <v>64.29</v>
      </c>
      <c r="AN1297" s="7" t="s">
        <v>54</v>
      </c>
      <c r="AO1297" s="7" t="s">
        <v>55</v>
      </c>
      <c r="AP1297" s="7" t="s">
        <v>56</v>
      </c>
      <c r="AT1297" s="47" t="s">
        <v>57</v>
      </c>
      <c r="AU1297" s="47" t="s">
        <v>57</v>
      </c>
    </row>
    <row r="1298" spans="1:47">
      <c r="A1298" s="4" t="s">
        <v>48</v>
      </c>
      <c r="C1298" s="21"/>
      <c r="D1298" s="22" t="s">
        <v>49</v>
      </c>
      <c r="G1298" s="23">
        <v>45091</v>
      </c>
      <c r="H1298" s="24" t="s">
        <v>3869</v>
      </c>
      <c r="J1298" s="28" t="s">
        <v>51</v>
      </c>
      <c r="L1298" s="24" t="s">
        <v>3870</v>
      </c>
      <c r="M1298" s="1" t="str">
        <f>"132821194502082515"</f>
        <v>132821194502082515</v>
      </c>
      <c r="N1298" s="24" t="s">
        <v>3870</v>
      </c>
      <c r="O1298" s="1" t="str">
        <f>"132821194502082515"</f>
        <v>132821194502082515</v>
      </c>
      <c r="P1298" s="23" t="s">
        <v>3871</v>
      </c>
      <c r="Q1298" s="23">
        <v>45214</v>
      </c>
      <c r="R1298" s="32">
        <v>45580</v>
      </c>
      <c r="V1298" s="33">
        <v>100</v>
      </c>
      <c r="W1298" s="28">
        <v>64.29</v>
      </c>
      <c r="X1298" s="34" t="s">
        <v>54</v>
      </c>
      <c r="Y1298" s="33">
        <v>64.29</v>
      </c>
      <c r="AC1298" s="28">
        <v>64.29</v>
      </c>
      <c r="AD1298" s="34" t="s">
        <v>54</v>
      </c>
      <c r="AE1298" s="33">
        <v>64.29</v>
      </c>
      <c r="AN1298" s="7" t="s">
        <v>54</v>
      </c>
      <c r="AO1298" s="7" t="s">
        <v>55</v>
      </c>
      <c r="AP1298" s="7" t="s">
        <v>56</v>
      </c>
      <c r="AT1298" s="47" t="s">
        <v>57</v>
      </c>
      <c r="AU1298" s="47" t="s">
        <v>57</v>
      </c>
    </row>
    <row r="1299" spans="1:47">
      <c r="A1299" s="4" t="s">
        <v>48</v>
      </c>
      <c r="C1299" s="21"/>
      <c r="D1299" s="22" t="s">
        <v>49</v>
      </c>
      <c r="G1299" s="23">
        <v>45091</v>
      </c>
      <c r="H1299" s="24" t="s">
        <v>3872</v>
      </c>
      <c r="J1299" s="28" t="s">
        <v>51</v>
      </c>
      <c r="L1299" s="24" t="s">
        <v>3873</v>
      </c>
      <c r="M1299" s="1" t="str">
        <f>"131082198606022521"</f>
        <v>131082198606022521</v>
      </c>
      <c r="N1299" s="24" t="s">
        <v>3873</v>
      </c>
      <c r="O1299" s="1" t="str">
        <f>"131082198606022521"</f>
        <v>131082198606022521</v>
      </c>
      <c r="P1299" s="23" t="s">
        <v>3874</v>
      </c>
      <c r="Q1299" s="23">
        <v>45302</v>
      </c>
      <c r="R1299" s="32">
        <v>45668</v>
      </c>
      <c r="V1299" s="33">
        <v>100</v>
      </c>
      <c r="W1299" s="28">
        <v>64.29</v>
      </c>
      <c r="X1299" s="34" t="s">
        <v>54</v>
      </c>
      <c r="Y1299" s="33">
        <v>64.29</v>
      </c>
      <c r="AC1299" s="28">
        <v>64.29</v>
      </c>
      <c r="AD1299" s="34" t="s">
        <v>54</v>
      </c>
      <c r="AE1299" s="33">
        <v>64.29</v>
      </c>
      <c r="AN1299" s="7" t="s">
        <v>54</v>
      </c>
      <c r="AO1299" s="7" t="s">
        <v>55</v>
      </c>
      <c r="AP1299" s="7" t="s">
        <v>56</v>
      </c>
      <c r="AT1299" s="47" t="s">
        <v>57</v>
      </c>
      <c r="AU1299" s="47" t="s">
        <v>57</v>
      </c>
    </row>
    <row r="1300" spans="1:47">
      <c r="A1300" s="4" t="s">
        <v>48</v>
      </c>
      <c r="C1300" s="21"/>
      <c r="D1300" s="22" t="s">
        <v>49</v>
      </c>
      <c r="G1300" s="23">
        <v>45089</v>
      </c>
      <c r="H1300" s="24" t="s">
        <v>3875</v>
      </c>
      <c r="J1300" s="28" t="s">
        <v>51</v>
      </c>
      <c r="L1300" s="24" t="s">
        <v>3876</v>
      </c>
      <c r="M1300" s="1" t="str">
        <f>"132821195505112518"</f>
        <v>132821195505112518</v>
      </c>
      <c r="N1300" s="24" t="s">
        <v>3876</v>
      </c>
      <c r="O1300" s="1" t="str">
        <f>"132821195505112518"</f>
        <v>132821195505112518</v>
      </c>
      <c r="P1300" s="23" t="s">
        <v>3877</v>
      </c>
      <c r="Q1300" s="23">
        <v>45090</v>
      </c>
      <c r="R1300" s="32">
        <v>45456</v>
      </c>
      <c r="V1300" s="33">
        <v>100</v>
      </c>
      <c r="W1300" s="28">
        <v>64.29</v>
      </c>
      <c r="X1300" s="34" t="s">
        <v>54</v>
      </c>
      <c r="Y1300" s="33">
        <v>64.29</v>
      </c>
      <c r="AC1300" s="28">
        <v>64.29</v>
      </c>
      <c r="AD1300" s="34" t="s">
        <v>54</v>
      </c>
      <c r="AE1300" s="33">
        <v>64.29</v>
      </c>
      <c r="AN1300" s="7" t="s">
        <v>54</v>
      </c>
      <c r="AO1300" s="7" t="s">
        <v>55</v>
      </c>
      <c r="AP1300" s="7" t="s">
        <v>56</v>
      </c>
      <c r="AT1300" s="47" t="s">
        <v>57</v>
      </c>
      <c r="AU1300" s="47" t="s">
        <v>57</v>
      </c>
    </row>
    <row r="1301" spans="1:47">
      <c r="A1301" s="4" t="s">
        <v>48</v>
      </c>
      <c r="C1301" s="21"/>
      <c r="D1301" s="22" t="s">
        <v>49</v>
      </c>
      <c r="G1301" s="23">
        <v>45089</v>
      </c>
      <c r="H1301" s="24" t="s">
        <v>3878</v>
      </c>
      <c r="J1301" s="28" t="s">
        <v>51</v>
      </c>
      <c r="L1301" s="24" t="s">
        <v>3879</v>
      </c>
      <c r="M1301" s="1" t="str">
        <f>"131082198308052511"</f>
        <v>131082198308052511</v>
      </c>
      <c r="N1301" s="24" t="s">
        <v>3879</v>
      </c>
      <c r="O1301" s="1" t="str">
        <f>"131082198308052511"</f>
        <v>131082198308052511</v>
      </c>
      <c r="P1301" s="23" t="s">
        <v>3880</v>
      </c>
      <c r="Q1301" s="23">
        <v>45212</v>
      </c>
      <c r="R1301" s="32">
        <v>45578</v>
      </c>
      <c r="V1301" s="33">
        <v>100</v>
      </c>
      <c r="W1301" s="28">
        <v>64.29</v>
      </c>
      <c r="X1301" s="34" t="s">
        <v>54</v>
      </c>
      <c r="Y1301" s="33">
        <v>64.29</v>
      </c>
      <c r="AC1301" s="28">
        <v>64.29</v>
      </c>
      <c r="AD1301" s="34" t="s">
        <v>54</v>
      </c>
      <c r="AE1301" s="33">
        <v>64.29</v>
      </c>
      <c r="AN1301" s="7" t="s">
        <v>54</v>
      </c>
      <c r="AO1301" s="7" t="s">
        <v>55</v>
      </c>
      <c r="AP1301" s="7" t="s">
        <v>56</v>
      </c>
      <c r="AT1301" s="47" t="s">
        <v>57</v>
      </c>
      <c r="AU1301" s="47" t="s">
        <v>57</v>
      </c>
    </row>
    <row r="1302" spans="1:47">
      <c r="A1302" s="4" t="s">
        <v>48</v>
      </c>
      <c r="C1302" s="21"/>
      <c r="D1302" s="22" t="s">
        <v>49</v>
      </c>
      <c r="G1302" s="23">
        <v>45082</v>
      </c>
      <c r="H1302" s="24" t="s">
        <v>3881</v>
      </c>
      <c r="J1302" s="28" t="s">
        <v>51</v>
      </c>
      <c r="L1302" s="24" t="s">
        <v>3882</v>
      </c>
      <c r="M1302" s="1" t="str">
        <f>"132821196810012526"</f>
        <v>132821196810012526</v>
      </c>
      <c r="N1302" s="24" t="s">
        <v>3882</v>
      </c>
      <c r="O1302" s="1" t="str">
        <f>"132821196810012526"</f>
        <v>132821196810012526</v>
      </c>
      <c r="P1302" s="23" t="s">
        <v>3883</v>
      </c>
      <c r="Q1302" s="23">
        <v>45175</v>
      </c>
      <c r="R1302" s="32">
        <v>45541</v>
      </c>
      <c r="V1302" s="33">
        <v>100</v>
      </c>
      <c r="W1302" s="28">
        <v>64.29</v>
      </c>
      <c r="X1302" s="34" t="s">
        <v>54</v>
      </c>
      <c r="Y1302" s="33">
        <v>64.29</v>
      </c>
      <c r="AC1302" s="28">
        <v>64.29</v>
      </c>
      <c r="AD1302" s="34" t="s">
        <v>54</v>
      </c>
      <c r="AE1302" s="33">
        <v>64.29</v>
      </c>
      <c r="AN1302" s="7" t="s">
        <v>54</v>
      </c>
      <c r="AO1302" s="7" t="s">
        <v>55</v>
      </c>
      <c r="AP1302" s="7" t="s">
        <v>56</v>
      </c>
      <c r="AT1302" s="47" t="s">
        <v>57</v>
      </c>
      <c r="AU1302" s="47" t="s">
        <v>57</v>
      </c>
    </row>
    <row r="1303" spans="1:47">
      <c r="A1303" s="4" t="s">
        <v>48</v>
      </c>
      <c r="C1303" s="21"/>
      <c r="D1303" s="22" t="s">
        <v>49</v>
      </c>
      <c r="G1303" s="23">
        <v>45082</v>
      </c>
      <c r="H1303" s="24" t="s">
        <v>3884</v>
      </c>
      <c r="J1303" s="28" t="s">
        <v>51</v>
      </c>
      <c r="L1303" s="24" t="s">
        <v>3885</v>
      </c>
      <c r="M1303" s="1" t="str">
        <f>"132821196207090271"</f>
        <v>132821196207090271</v>
      </c>
      <c r="N1303" s="24" t="s">
        <v>3885</v>
      </c>
      <c r="O1303" s="1" t="str">
        <f>"132821196207090271"</f>
        <v>132821196207090271</v>
      </c>
      <c r="P1303" s="23" t="s">
        <v>3886</v>
      </c>
      <c r="Q1303" s="23">
        <v>45083</v>
      </c>
      <c r="R1303" s="32">
        <v>45449</v>
      </c>
      <c r="V1303" s="33">
        <v>100</v>
      </c>
      <c r="W1303" s="28">
        <v>64.29</v>
      </c>
      <c r="X1303" s="34" t="s">
        <v>54</v>
      </c>
      <c r="Y1303" s="33">
        <v>64.29</v>
      </c>
      <c r="AC1303" s="28">
        <v>64.29</v>
      </c>
      <c r="AD1303" s="34" t="s">
        <v>54</v>
      </c>
      <c r="AE1303" s="33">
        <v>64.29</v>
      </c>
      <c r="AN1303" s="7" t="s">
        <v>54</v>
      </c>
      <c r="AO1303" s="7" t="s">
        <v>55</v>
      </c>
      <c r="AP1303" s="7" t="s">
        <v>56</v>
      </c>
      <c r="AT1303" s="47" t="s">
        <v>57</v>
      </c>
      <c r="AU1303" s="47" t="s">
        <v>57</v>
      </c>
    </row>
    <row r="1304" spans="1:47">
      <c r="A1304" s="4" t="s">
        <v>48</v>
      </c>
      <c r="C1304" s="21"/>
      <c r="D1304" s="22" t="s">
        <v>49</v>
      </c>
      <c r="G1304" s="23">
        <v>45080</v>
      </c>
      <c r="H1304" s="24" t="s">
        <v>3887</v>
      </c>
      <c r="J1304" s="28" t="s">
        <v>51</v>
      </c>
      <c r="L1304" s="24" t="s">
        <v>3888</v>
      </c>
      <c r="M1304" s="1" t="str">
        <f>"132821196207090271"</f>
        <v>132821196207090271</v>
      </c>
      <c r="N1304" s="24" t="s">
        <v>3888</v>
      </c>
      <c r="O1304" s="1" t="str">
        <f>"132821196207090271"</f>
        <v>132821196207090271</v>
      </c>
      <c r="P1304" s="23" t="s">
        <v>3886</v>
      </c>
      <c r="Q1304" s="23">
        <v>45081</v>
      </c>
      <c r="R1304" s="32">
        <v>45447</v>
      </c>
      <c r="V1304" s="33">
        <v>100</v>
      </c>
      <c r="W1304" s="28">
        <v>64.29</v>
      </c>
      <c r="X1304" s="34" t="s">
        <v>54</v>
      </c>
      <c r="Y1304" s="33">
        <v>64.29</v>
      </c>
      <c r="AC1304" s="28">
        <v>64.29</v>
      </c>
      <c r="AD1304" s="34" t="s">
        <v>54</v>
      </c>
      <c r="AE1304" s="33">
        <v>64.29</v>
      </c>
      <c r="AN1304" s="7" t="s">
        <v>54</v>
      </c>
      <c r="AO1304" s="7" t="s">
        <v>55</v>
      </c>
      <c r="AP1304" s="7" t="s">
        <v>56</v>
      </c>
      <c r="AT1304" s="47" t="s">
        <v>57</v>
      </c>
      <c r="AU1304" s="47" t="s">
        <v>57</v>
      </c>
    </row>
    <row r="1305" spans="1:47">
      <c r="A1305" s="4" t="s">
        <v>48</v>
      </c>
      <c r="C1305" s="21"/>
      <c r="D1305" s="22" t="s">
        <v>49</v>
      </c>
      <c r="G1305" s="23">
        <v>45079</v>
      </c>
      <c r="H1305" s="24" t="s">
        <v>3889</v>
      </c>
      <c r="J1305" s="28" t="s">
        <v>51</v>
      </c>
      <c r="L1305" s="24" t="s">
        <v>3890</v>
      </c>
      <c r="M1305" s="1" t="str">
        <f>"132821195811208278"</f>
        <v>132821195811208278</v>
      </c>
      <c r="N1305" s="24" t="s">
        <v>3890</v>
      </c>
      <c r="O1305" s="1" t="str">
        <f>"132821195811208278"</f>
        <v>132821195811208278</v>
      </c>
      <c r="P1305" s="23" t="s">
        <v>3891</v>
      </c>
      <c r="Q1305" s="23">
        <v>45214</v>
      </c>
      <c r="R1305" s="32">
        <v>45580</v>
      </c>
      <c r="V1305" s="33">
        <v>100</v>
      </c>
      <c r="W1305" s="28">
        <v>64.29</v>
      </c>
      <c r="X1305" s="34" t="s">
        <v>54</v>
      </c>
      <c r="Y1305" s="33">
        <v>64.29</v>
      </c>
      <c r="AC1305" s="28">
        <v>64.29</v>
      </c>
      <c r="AD1305" s="34" t="s">
        <v>54</v>
      </c>
      <c r="AE1305" s="33">
        <v>64.29</v>
      </c>
      <c r="AN1305" s="7" t="s">
        <v>54</v>
      </c>
      <c r="AO1305" s="7" t="s">
        <v>55</v>
      </c>
      <c r="AP1305" s="7" t="s">
        <v>56</v>
      </c>
      <c r="AT1305" s="47" t="s">
        <v>57</v>
      </c>
      <c r="AU1305" s="47" t="s">
        <v>57</v>
      </c>
    </row>
    <row r="1306" spans="1:47">
      <c r="A1306" s="4" t="s">
        <v>48</v>
      </c>
      <c r="C1306" s="21"/>
      <c r="D1306" s="22" t="s">
        <v>49</v>
      </c>
      <c r="G1306" s="23">
        <v>45079</v>
      </c>
      <c r="H1306" s="24" t="s">
        <v>3892</v>
      </c>
      <c r="J1306" s="28" t="s">
        <v>51</v>
      </c>
      <c r="L1306" s="24" t="s">
        <v>2853</v>
      </c>
      <c r="M1306" s="1" t="str">
        <f>"131082197808180291"</f>
        <v>131082197808180291</v>
      </c>
      <c r="N1306" s="24" t="s">
        <v>2853</v>
      </c>
      <c r="O1306" s="1" t="str">
        <f>"131082197808180291"</f>
        <v>131082197808180291</v>
      </c>
      <c r="P1306" s="23" t="s">
        <v>3893</v>
      </c>
      <c r="Q1306" s="23">
        <v>45110</v>
      </c>
      <c r="R1306" s="32">
        <v>45476</v>
      </c>
      <c r="V1306" s="33">
        <v>200</v>
      </c>
      <c r="W1306" s="28">
        <v>64.29</v>
      </c>
      <c r="X1306" s="34" t="s">
        <v>54</v>
      </c>
      <c r="Y1306" s="33">
        <v>128.58</v>
      </c>
      <c r="AC1306" s="28">
        <v>64.29</v>
      </c>
      <c r="AD1306" s="34" t="s">
        <v>54</v>
      </c>
      <c r="AE1306" s="33">
        <v>128.58</v>
      </c>
      <c r="AN1306" s="7" t="s">
        <v>54</v>
      </c>
      <c r="AO1306" s="7" t="s">
        <v>55</v>
      </c>
      <c r="AP1306" s="7" t="s">
        <v>56</v>
      </c>
      <c r="AT1306" s="47" t="s">
        <v>57</v>
      </c>
      <c r="AU1306" s="47" t="s">
        <v>57</v>
      </c>
    </row>
    <row r="1307" spans="1:47">
      <c r="A1307" s="4" t="s">
        <v>48</v>
      </c>
      <c r="C1307" s="21"/>
      <c r="D1307" s="22" t="s">
        <v>49</v>
      </c>
      <c r="G1307" s="23">
        <v>45079</v>
      </c>
      <c r="H1307" s="24" t="s">
        <v>3894</v>
      </c>
      <c r="J1307" s="28" t="s">
        <v>51</v>
      </c>
      <c r="L1307" s="24" t="s">
        <v>3895</v>
      </c>
      <c r="M1307" s="1" t="str">
        <f>"132821195811208278"</f>
        <v>132821195811208278</v>
      </c>
      <c r="N1307" s="24" t="s">
        <v>3895</v>
      </c>
      <c r="O1307" s="1" t="str">
        <f>"132821195811208278"</f>
        <v>132821195811208278</v>
      </c>
      <c r="P1307" s="23" t="s">
        <v>3891</v>
      </c>
      <c r="Q1307" s="23">
        <v>45080</v>
      </c>
      <c r="R1307" s="32">
        <v>45446</v>
      </c>
      <c r="V1307" s="33">
        <v>200</v>
      </c>
      <c r="W1307" s="28">
        <v>64.29</v>
      </c>
      <c r="X1307" s="34" t="s">
        <v>54</v>
      </c>
      <c r="Y1307" s="33">
        <v>128.58</v>
      </c>
      <c r="AC1307" s="28">
        <v>64.29</v>
      </c>
      <c r="AD1307" s="34" t="s">
        <v>54</v>
      </c>
      <c r="AE1307" s="33">
        <v>128.58</v>
      </c>
      <c r="AN1307" s="7" t="s">
        <v>54</v>
      </c>
      <c r="AO1307" s="7" t="s">
        <v>55</v>
      </c>
      <c r="AP1307" s="7" t="s">
        <v>56</v>
      </c>
      <c r="AT1307" s="47" t="s">
        <v>57</v>
      </c>
      <c r="AU1307" s="47" t="s">
        <v>57</v>
      </c>
    </row>
    <row r="1308" spans="1:47">
      <c r="A1308" s="4" t="s">
        <v>48</v>
      </c>
      <c r="C1308" s="21"/>
      <c r="D1308" s="22" t="s">
        <v>49</v>
      </c>
      <c r="G1308" s="23">
        <v>45096</v>
      </c>
      <c r="H1308" s="24" t="s">
        <v>3896</v>
      </c>
      <c r="J1308" s="28" t="s">
        <v>51</v>
      </c>
      <c r="L1308" s="24" t="s">
        <v>3897</v>
      </c>
      <c r="M1308" s="1" t="str">
        <f>"411325198703022933"</f>
        <v>411325198703022933</v>
      </c>
      <c r="N1308" s="24" t="s">
        <v>3897</v>
      </c>
      <c r="O1308" s="1" t="str">
        <f>"411325198703022933"</f>
        <v>411325198703022933</v>
      </c>
      <c r="P1308" s="23" t="s">
        <v>3898</v>
      </c>
      <c r="Q1308" s="23">
        <v>45097</v>
      </c>
      <c r="R1308" s="32">
        <v>45463</v>
      </c>
      <c r="V1308" s="33">
        <v>50</v>
      </c>
      <c r="W1308" s="28">
        <v>64.29</v>
      </c>
      <c r="X1308" s="34" t="s">
        <v>54</v>
      </c>
      <c r="Y1308" s="33">
        <v>32.15</v>
      </c>
      <c r="AC1308" s="28">
        <v>64.29</v>
      </c>
      <c r="AD1308" s="34" t="s">
        <v>54</v>
      </c>
      <c r="AE1308" s="33">
        <v>32.15</v>
      </c>
      <c r="AN1308" s="7" t="s">
        <v>54</v>
      </c>
      <c r="AO1308" s="7" t="s">
        <v>55</v>
      </c>
      <c r="AP1308" s="7" t="s">
        <v>56</v>
      </c>
      <c r="AT1308" s="47" t="s">
        <v>57</v>
      </c>
      <c r="AU1308" s="47" t="s">
        <v>57</v>
      </c>
    </row>
    <row r="1309" spans="1:47">
      <c r="A1309" s="4" t="s">
        <v>48</v>
      </c>
      <c r="C1309" s="21"/>
      <c r="D1309" s="22" t="s">
        <v>49</v>
      </c>
      <c r="G1309" s="23">
        <v>45096</v>
      </c>
      <c r="H1309" s="24" t="s">
        <v>3899</v>
      </c>
      <c r="J1309" s="28" t="s">
        <v>51</v>
      </c>
      <c r="L1309" s="24" t="s">
        <v>3900</v>
      </c>
      <c r="M1309" s="1" t="str">
        <f>"131082194706248212"</f>
        <v>131082194706248212</v>
      </c>
      <c r="N1309" s="24" t="s">
        <v>3900</v>
      </c>
      <c r="O1309" s="1" t="str">
        <f>"131082194706248212"</f>
        <v>131082194706248212</v>
      </c>
      <c r="P1309" s="23" t="s">
        <v>3901</v>
      </c>
      <c r="Q1309" s="23">
        <v>45097</v>
      </c>
      <c r="R1309" s="32">
        <v>45463</v>
      </c>
      <c r="V1309" s="33">
        <v>50</v>
      </c>
      <c r="W1309" s="28">
        <v>64.29</v>
      </c>
      <c r="X1309" s="34" t="s">
        <v>54</v>
      </c>
      <c r="Y1309" s="33">
        <v>32.15</v>
      </c>
      <c r="AC1309" s="28">
        <v>64.29</v>
      </c>
      <c r="AD1309" s="34" t="s">
        <v>54</v>
      </c>
      <c r="AE1309" s="33">
        <v>32.15</v>
      </c>
      <c r="AN1309" s="7" t="s">
        <v>54</v>
      </c>
      <c r="AO1309" s="7" t="s">
        <v>55</v>
      </c>
      <c r="AP1309" s="7" t="s">
        <v>56</v>
      </c>
      <c r="AT1309" s="47" t="s">
        <v>57</v>
      </c>
      <c r="AU1309" s="47" t="s">
        <v>57</v>
      </c>
    </row>
    <row r="1310" spans="1:47">
      <c r="A1310" s="4" t="s">
        <v>48</v>
      </c>
      <c r="C1310" s="21"/>
      <c r="D1310" s="22" t="s">
        <v>49</v>
      </c>
      <c r="G1310" s="23">
        <v>45096</v>
      </c>
      <c r="H1310" s="24" t="s">
        <v>3902</v>
      </c>
      <c r="J1310" s="28" t="s">
        <v>51</v>
      </c>
      <c r="L1310" s="24" t="s">
        <v>3903</v>
      </c>
      <c r="M1310" s="1" t="str">
        <f>"132821196706078277"</f>
        <v>132821196706078277</v>
      </c>
      <c r="N1310" s="24" t="s">
        <v>3903</v>
      </c>
      <c r="O1310" s="1" t="str">
        <f>"132821196706078277"</f>
        <v>132821196706078277</v>
      </c>
      <c r="P1310" s="23" t="s">
        <v>3904</v>
      </c>
      <c r="Q1310" s="23">
        <v>45097</v>
      </c>
      <c r="R1310" s="32">
        <v>45463</v>
      </c>
      <c r="V1310" s="33">
        <v>50</v>
      </c>
      <c r="W1310" s="28">
        <v>64.29</v>
      </c>
      <c r="X1310" s="34" t="s">
        <v>54</v>
      </c>
      <c r="Y1310" s="33">
        <v>32.15</v>
      </c>
      <c r="AC1310" s="28">
        <v>64.29</v>
      </c>
      <c r="AD1310" s="34" t="s">
        <v>54</v>
      </c>
      <c r="AE1310" s="33">
        <v>32.15</v>
      </c>
      <c r="AN1310" s="7" t="s">
        <v>54</v>
      </c>
      <c r="AO1310" s="7" t="s">
        <v>55</v>
      </c>
      <c r="AP1310" s="7" t="s">
        <v>56</v>
      </c>
      <c r="AT1310" s="47" t="s">
        <v>57</v>
      </c>
      <c r="AU1310" s="47" t="s">
        <v>57</v>
      </c>
    </row>
    <row r="1311" spans="1:47">
      <c r="A1311" s="4" t="s">
        <v>48</v>
      </c>
      <c r="C1311" s="21"/>
      <c r="D1311" s="22" t="s">
        <v>49</v>
      </c>
      <c r="G1311" s="23">
        <v>45098</v>
      </c>
      <c r="H1311" s="24" t="s">
        <v>3905</v>
      </c>
      <c r="J1311" s="28" t="s">
        <v>51</v>
      </c>
      <c r="L1311" s="24" t="s">
        <v>3906</v>
      </c>
      <c r="M1311" s="1" t="str">
        <f>"132821196512072926"</f>
        <v>132821196512072926</v>
      </c>
      <c r="N1311" s="24" t="s">
        <v>3906</v>
      </c>
      <c r="O1311" s="1" t="str">
        <f>"132821196512072926"</f>
        <v>132821196512072926</v>
      </c>
      <c r="P1311" s="23" t="s">
        <v>3907</v>
      </c>
      <c r="Q1311" s="23">
        <v>45099</v>
      </c>
      <c r="R1311" s="32">
        <v>45465</v>
      </c>
      <c r="V1311" s="33">
        <v>50</v>
      </c>
      <c r="W1311" s="28">
        <v>64.29</v>
      </c>
      <c r="X1311" s="34" t="s">
        <v>54</v>
      </c>
      <c r="Y1311" s="33">
        <v>32.15</v>
      </c>
      <c r="AC1311" s="28">
        <v>64.29</v>
      </c>
      <c r="AD1311" s="34" t="s">
        <v>54</v>
      </c>
      <c r="AE1311" s="33">
        <v>32.15</v>
      </c>
      <c r="AN1311" s="7" t="s">
        <v>54</v>
      </c>
      <c r="AO1311" s="7" t="s">
        <v>55</v>
      </c>
      <c r="AP1311" s="7" t="s">
        <v>56</v>
      </c>
      <c r="AT1311" s="47" t="s">
        <v>57</v>
      </c>
      <c r="AU1311" s="47" t="s">
        <v>57</v>
      </c>
    </row>
    <row r="1312" spans="1:47">
      <c r="A1312" s="4" t="s">
        <v>48</v>
      </c>
      <c r="C1312" s="21"/>
      <c r="D1312" s="22" t="s">
        <v>49</v>
      </c>
      <c r="G1312" s="23">
        <v>45097</v>
      </c>
      <c r="H1312" s="24" t="s">
        <v>3908</v>
      </c>
      <c r="J1312" s="28" t="s">
        <v>51</v>
      </c>
      <c r="L1312" s="24" t="s">
        <v>2853</v>
      </c>
      <c r="M1312" s="1" t="str">
        <f>"131082198408180553"</f>
        <v>131082198408180553</v>
      </c>
      <c r="N1312" s="24" t="s">
        <v>2853</v>
      </c>
      <c r="O1312" s="1" t="str">
        <f>"131082198408180553"</f>
        <v>131082198408180553</v>
      </c>
      <c r="P1312" s="23" t="s">
        <v>3909</v>
      </c>
      <c r="Q1312" s="23">
        <v>45098</v>
      </c>
      <c r="R1312" s="32">
        <v>45464</v>
      </c>
      <c r="V1312" s="33">
        <v>50</v>
      </c>
      <c r="W1312" s="28">
        <v>64.29</v>
      </c>
      <c r="X1312" s="34" t="s">
        <v>54</v>
      </c>
      <c r="Y1312" s="33">
        <v>32.15</v>
      </c>
      <c r="AC1312" s="28">
        <v>64.29</v>
      </c>
      <c r="AD1312" s="34" t="s">
        <v>54</v>
      </c>
      <c r="AE1312" s="33">
        <v>32.15</v>
      </c>
      <c r="AN1312" s="7" t="s">
        <v>54</v>
      </c>
      <c r="AO1312" s="7" t="s">
        <v>55</v>
      </c>
      <c r="AP1312" s="7" t="s">
        <v>56</v>
      </c>
      <c r="AT1312" s="47" t="s">
        <v>57</v>
      </c>
      <c r="AU1312" s="47" t="s">
        <v>57</v>
      </c>
    </row>
    <row r="1313" spans="1:47">
      <c r="A1313" s="4" t="s">
        <v>48</v>
      </c>
      <c r="C1313" s="21"/>
      <c r="D1313" s="22" t="s">
        <v>49</v>
      </c>
      <c r="G1313" s="23">
        <v>45100</v>
      </c>
      <c r="H1313" s="24" t="s">
        <v>3910</v>
      </c>
      <c r="J1313" s="28" t="s">
        <v>51</v>
      </c>
      <c r="L1313" s="24" t="s">
        <v>3911</v>
      </c>
      <c r="M1313" s="1" t="str">
        <f>"131082198903282514"</f>
        <v>131082198903282514</v>
      </c>
      <c r="N1313" s="24" t="s">
        <v>3911</v>
      </c>
      <c r="O1313" s="1" t="str">
        <f>"131082198903282514"</f>
        <v>131082198903282514</v>
      </c>
      <c r="P1313" s="23" t="s">
        <v>3883</v>
      </c>
      <c r="Q1313" s="23">
        <v>45101</v>
      </c>
      <c r="R1313" s="32">
        <v>45467</v>
      </c>
      <c r="V1313" s="33">
        <v>100</v>
      </c>
      <c r="W1313" s="28">
        <v>64.29</v>
      </c>
      <c r="X1313" s="34" t="s">
        <v>54</v>
      </c>
      <c r="Y1313" s="33">
        <v>64.29</v>
      </c>
      <c r="AC1313" s="28">
        <v>64.29</v>
      </c>
      <c r="AD1313" s="34" t="s">
        <v>54</v>
      </c>
      <c r="AE1313" s="33">
        <v>64.29</v>
      </c>
      <c r="AN1313" s="7" t="s">
        <v>54</v>
      </c>
      <c r="AO1313" s="7" t="s">
        <v>55</v>
      </c>
      <c r="AP1313" s="7" t="s">
        <v>56</v>
      </c>
      <c r="AT1313" s="47" t="s">
        <v>57</v>
      </c>
      <c r="AU1313" s="47" t="s">
        <v>57</v>
      </c>
    </row>
    <row r="1314" spans="1:47">
      <c r="A1314" s="4" t="s">
        <v>48</v>
      </c>
      <c r="C1314" s="21"/>
      <c r="D1314" s="22" t="s">
        <v>49</v>
      </c>
      <c r="G1314" s="23">
        <v>45102</v>
      </c>
      <c r="H1314" s="24" t="s">
        <v>3912</v>
      </c>
      <c r="J1314" s="28" t="s">
        <v>51</v>
      </c>
      <c r="L1314" s="24" t="s">
        <v>3913</v>
      </c>
      <c r="M1314" s="1" t="str">
        <f>"131028198702023606"</f>
        <v>131028198702023606</v>
      </c>
      <c r="N1314" s="24" t="s">
        <v>3913</v>
      </c>
      <c r="O1314" s="1" t="str">
        <f>"131028198702023606"</f>
        <v>131028198702023606</v>
      </c>
      <c r="P1314" s="23" t="s">
        <v>3914</v>
      </c>
      <c r="Q1314" s="23">
        <v>45103</v>
      </c>
      <c r="R1314" s="32">
        <v>45469</v>
      </c>
      <c r="V1314" s="33">
        <v>100</v>
      </c>
      <c r="W1314" s="28">
        <v>64.29</v>
      </c>
      <c r="X1314" s="34" t="s">
        <v>54</v>
      </c>
      <c r="Y1314" s="33">
        <v>64.29</v>
      </c>
      <c r="AC1314" s="28">
        <v>64.29</v>
      </c>
      <c r="AD1314" s="34" t="s">
        <v>54</v>
      </c>
      <c r="AE1314" s="33">
        <v>64.29</v>
      </c>
      <c r="AN1314" s="7" t="s">
        <v>54</v>
      </c>
      <c r="AO1314" s="7" t="s">
        <v>55</v>
      </c>
      <c r="AP1314" s="7" t="s">
        <v>56</v>
      </c>
      <c r="AT1314" s="47" t="s">
        <v>57</v>
      </c>
      <c r="AU1314" s="47" t="s">
        <v>57</v>
      </c>
    </row>
    <row r="1315" spans="1:47">
      <c r="A1315" s="4" t="s">
        <v>48</v>
      </c>
      <c r="C1315" s="21"/>
      <c r="D1315" s="22" t="s">
        <v>49</v>
      </c>
      <c r="G1315" s="23">
        <v>45099</v>
      </c>
      <c r="H1315" s="24" t="s">
        <v>3915</v>
      </c>
      <c r="J1315" s="28" t="s">
        <v>51</v>
      </c>
      <c r="L1315" s="24" t="s">
        <v>3916</v>
      </c>
      <c r="M1315" s="1" t="str">
        <f>"13108219870708254X"</f>
        <v>13108219870708254X</v>
      </c>
      <c r="N1315" s="24" t="s">
        <v>3916</v>
      </c>
      <c r="O1315" s="1" t="str">
        <f>"13108219870708254X"</f>
        <v>13108219870708254X</v>
      </c>
      <c r="P1315" s="23" t="s">
        <v>3917</v>
      </c>
      <c r="Q1315" s="23">
        <v>45100</v>
      </c>
      <c r="R1315" s="32">
        <v>45466</v>
      </c>
      <c r="V1315" s="33">
        <v>100</v>
      </c>
      <c r="W1315" s="28">
        <v>64.29</v>
      </c>
      <c r="X1315" s="34" t="s">
        <v>54</v>
      </c>
      <c r="Y1315" s="33">
        <v>64.29</v>
      </c>
      <c r="AC1315" s="28">
        <v>64.29</v>
      </c>
      <c r="AD1315" s="34" t="s">
        <v>54</v>
      </c>
      <c r="AE1315" s="33">
        <v>64.29</v>
      </c>
      <c r="AN1315" s="7" t="s">
        <v>54</v>
      </c>
      <c r="AO1315" s="7" t="s">
        <v>55</v>
      </c>
      <c r="AP1315" s="7" t="s">
        <v>56</v>
      </c>
      <c r="AT1315" s="47" t="s">
        <v>57</v>
      </c>
      <c r="AU1315" s="47" t="s">
        <v>57</v>
      </c>
    </row>
    <row r="1316" spans="1:47">
      <c r="A1316" s="4" t="s">
        <v>48</v>
      </c>
      <c r="C1316" s="21"/>
      <c r="D1316" s="22" t="s">
        <v>49</v>
      </c>
      <c r="G1316" s="23">
        <v>45100</v>
      </c>
      <c r="H1316" s="24" t="s">
        <v>3918</v>
      </c>
      <c r="J1316" s="28" t="s">
        <v>51</v>
      </c>
      <c r="L1316" s="24" t="s">
        <v>3919</v>
      </c>
      <c r="M1316" s="1" t="str">
        <f>"131082198504070557"</f>
        <v>131082198504070557</v>
      </c>
      <c r="N1316" s="24" t="s">
        <v>3919</v>
      </c>
      <c r="O1316" s="1" t="str">
        <f>"131082198504070557"</f>
        <v>131082198504070557</v>
      </c>
      <c r="P1316" s="23" t="s">
        <v>3920</v>
      </c>
      <c r="Q1316" s="23">
        <v>45101</v>
      </c>
      <c r="R1316" s="32">
        <v>45467</v>
      </c>
      <c r="V1316" s="33">
        <v>100</v>
      </c>
      <c r="W1316" s="28">
        <v>64.29</v>
      </c>
      <c r="X1316" s="34" t="s">
        <v>54</v>
      </c>
      <c r="Y1316" s="33">
        <v>64.29</v>
      </c>
      <c r="AC1316" s="28">
        <v>64.29</v>
      </c>
      <c r="AD1316" s="34" t="s">
        <v>54</v>
      </c>
      <c r="AE1316" s="33">
        <v>64.29</v>
      </c>
      <c r="AN1316" s="7" t="s">
        <v>54</v>
      </c>
      <c r="AO1316" s="7" t="s">
        <v>55</v>
      </c>
      <c r="AP1316" s="7" t="s">
        <v>56</v>
      </c>
      <c r="AT1316" s="47" t="s">
        <v>57</v>
      </c>
      <c r="AU1316" s="47" t="s">
        <v>57</v>
      </c>
    </row>
    <row r="1317" spans="1:47">
      <c r="A1317" s="4" t="s">
        <v>48</v>
      </c>
      <c r="C1317" s="21"/>
      <c r="D1317" s="22" t="s">
        <v>49</v>
      </c>
      <c r="G1317" s="23">
        <v>45100</v>
      </c>
      <c r="H1317" s="24" t="s">
        <v>3921</v>
      </c>
      <c r="J1317" s="28" t="s">
        <v>51</v>
      </c>
      <c r="L1317" s="24" t="s">
        <v>3922</v>
      </c>
      <c r="M1317" s="1" t="str">
        <f>"211481197602103720"</f>
        <v>211481197602103720</v>
      </c>
      <c r="N1317" s="24" t="s">
        <v>3922</v>
      </c>
      <c r="O1317" s="1" t="str">
        <f>"211481197602103720"</f>
        <v>211481197602103720</v>
      </c>
      <c r="P1317" s="23" t="s">
        <v>3923</v>
      </c>
      <c r="Q1317" s="23">
        <v>45101</v>
      </c>
      <c r="R1317" s="32">
        <v>45467</v>
      </c>
      <c r="V1317" s="33">
        <v>100</v>
      </c>
      <c r="W1317" s="28">
        <v>64.29</v>
      </c>
      <c r="X1317" s="34" t="s">
        <v>54</v>
      </c>
      <c r="Y1317" s="33">
        <v>64.29</v>
      </c>
      <c r="AC1317" s="28">
        <v>64.29</v>
      </c>
      <c r="AD1317" s="34" t="s">
        <v>54</v>
      </c>
      <c r="AE1317" s="33">
        <v>64.29</v>
      </c>
      <c r="AN1317" s="7" t="s">
        <v>54</v>
      </c>
      <c r="AO1317" s="7" t="s">
        <v>55</v>
      </c>
      <c r="AP1317" s="7" t="s">
        <v>56</v>
      </c>
      <c r="AT1317" s="47" t="s">
        <v>57</v>
      </c>
      <c r="AU1317" s="47" t="s">
        <v>57</v>
      </c>
    </row>
    <row r="1318" spans="1:47">
      <c r="A1318" s="4" t="s">
        <v>48</v>
      </c>
      <c r="C1318" s="21"/>
      <c r="D1318" s="22" t="s">
        <v>49</v>
      </c>
      <c r="G1318" s="23">
        <v>45100</v>
      </c>
      <c r="H1318" s="24" t="s">
        <v>3924</v>
      </c>
      <c r="J1318" s="28" t="s">
        <v>51</v>
      </c>
      <c r="L1318" s="24" t="s">
        <v>3925</v>
      </c>
      <c r="M1318" s="1" t="str">
        <f>"132821196106030528"</f>
        <v>132821196106030528</v>
      </c>
      <c r="N1318" s="24" t="s">
        <v>3925</v>
      </c>
      <c r="O1318" s="1" t="str">
        <f>"132821196106030528"</f>
        <v>132821196106030528</v>
      </c>
      <c r="P1318" s="23" t="s">
        <v>3926</v>
      </c>
      <c r="Q1318" s="23">
        <v>45311</v>
      </c>
      <c r="R1318" s="32">
        <v>45677</v>
      </c>
      <c r="V1318" s="33">
        <v>100</v>
      </c>
      <c r="W1318" s="28">
        <v>64.29</v>
      </c>
      <c r="X1318" s="34" t="s">
        <v>54</v>
      </c>
      <c r="Y1318" s="33">
        <v>64.29</v>
      </c>
      <c r="AC1318" s="28">
        <v>64.29</v>
      </c>
      <c r="AD1318" s="34" t="s">
        <v>54</v>
      </c>
      <c r="AE1318" s="33">
        <v>64.29</v>
      </c>
      <c r="AN1318" s="7" t="s">
        <v>54</v>
      </c>
      <c r="AO1318" s="7" t="s">
        <v>55</v>
      </c>
      <c r="AP1318" s="7" t="s">
        <v>56</v>
      </c>
      <c r="AT1318" s="47" t="s">
        <v>57</v>
      </c>
      <c r="AU1318" s="47" t="s">
        <v>57</v>
      </c>
    </row>
    <row r="1319" spans="1:47">
      <c r="A1319" s="4" t="s">
        <v>48</v>
      </c>
      <c r="C1319" s="21"/>
      <c r="D1319" s="22" t="s">
        <v>49</v>
      </c>
      <c r="G1319" s="23">
        <v>45089</v>
      </c>
      <c r="H1319" s="24" t="s">
        <v>3927</v>
      </c>
      <c r="J1319" s="28" t="s">
        <v>51</v>
      </c>
      <c r="L1319" s="24" t="s">
        <v>3928</v>
      </c>
      <c r="M1319" s="1" t="str">
        <f>"341202198909222529"</f>
        <v>341202198909222529</v>
      </c>
      <c r="N1319" s="24" t="s">
        <v>3928</v>
      </c>
      <c r="O1319" s="1" t="str">
        <f>"341202198909222529"</f>
        <v>341202198909222529</v>
      </c>
      <c r="P1319" s="23" t="s">
        <v>3929</v>
      </c>
      <c r="Q1319" s="23">
        <v>45291</v>
      </c>
      <c r="R1319" s="32">
        <v>45657</v>
      </c>
      <c r="V1319" s="33">
        <v>100</v>
      </c>
      <c r="W1319" s="28">
        <v>64.29</v>
      </c>
      <c r="X1319" s="34" t="s">
        <v>54</v>
      </c>
      <c r="Y1319" s="33">
        <v>64.29</v>
      </c>
      <c r="AC1319" s="28">
        <v>64.29</v>
      </c>
      <c r="AD1319" s="34" t="s">
        <v>54</v>
      </c>
      <c r="AE1319" s="33">
        <v>64.29</v>
      </c>
      <c r="AN1319" s="7" t="s">
        <v>54</v>
      </c>
      <c r="AO1319" s="7" t="s">
        <v>55</v>
      </c>
      <c r="AP1319" s="7" t="s">
        <v>56</v>
      </c>
      <c r="AT1319" s="47" t="s">
        <v>57</v>
      </c>
      <c r="AU1319" s="47" t="s">
        <v>57</v>
      </c>
    </row>
    <row r="1320" spans="1:47">
      <c r="A1320" s="4" t="s">
        <v>48</v>
      </c>
      <c r="C1320" s="21"/>
      <c r="D1320" s="22" t="s">
        <v>49</v>
      </c>
      <c r="G1320" s="23">
        <v>45090</v>
      </c>
      <c r="H1320" s="24" t="s">
        <v>3930</v>
      </c>
      <c r="J1320" s="28" t="s">
        <v>51</v>
      </c>
      <c r="L1320" s="24" t="s">
        <v>3931</v>
      </c>
      <c r="M1320" s="1" t="str">
        <f>"13282119510916827X"</f>
        <v>13282119510916827X</v>
      </c>
      <c r="N1320" s="24" t="s">
        <v>3931</v>
      </c>
      <c r="O1320" s="1" t="str">
        <f>"13282119510916827X"</f>
        <v>13282119510916827X</v>
      </c>
      <c r="P1320" s="23" t="s">
        <v>3932</v>
      </c>
      <c r="Q1320" s="23">
        <v>45091</v>
      </c>
      <c r="R1320" s="32">
        <v>45457</v>
      </c>
      <c r="V1320" s="33">
        <v>100</v>
      </c>
      <c r="W1320" s="28">
        <v>64.29</v>
      </c>
      <c r="X1320" s="34" t="s">
        <v>54</v>
      </c>
      <c r="Y1320" s="33">
        <v>64.29</v>
      </c>
      <c r="AC1320" s="28">
        <v>64.29</v>
      </c>
      <c r="AD1320" s="34" t="s">
        <v>54</v>
      </c>
      <c r="AE1320" s="33">
        <v>64.29</v>
      </c>
      <c r="AN1320" s="7" t="s">
        <v>54</v>
      </c>
      <c r="AO1320" s="7" t="s">
        <v>55</v>
      </c>
      <c r="AP1320" s="7" t="s">
        <v>56</v>
      </c>
      <c r="AT1320" s="47" t="s">
        <v>57</v>
      </c>
      <c r="AU1320" s="47" t="s">
        <v>57</v>
      </c>
    </row>
    <row r="1321" spans="1:47">
      <c r="A1321" s="4" t="s">
        <v>48</v>
      </c>
      <c r="C1321" s="21"/>
      <c r="D1321" s="22" t="s">
        <v>49</v>
      </c>
      <c r="G1321" s="23">
        <v>45089</v>
      </c>
      <c r="H1321" s="24" t="s">
        <v>3933</v>
      </c>
      <c r="J1321" s="28" t="s">
        <v>51</v>
      </c>
      <c r="L1321" s="24" t="s">
        <v>3934</v>
      </c>
      <c r="M1321" s="1" t="str">
        <f>"132821196106078281"</f>
        <v>132821196106078281</v>
      </c>
      <c r="N1321" s="24" t="s">
        <v>3934</v>
      </c>
      <c r="O1321" s="1" t="str">
        <f>"132821196106078281"</f>
        <v>132821196106078281</v>
      </c>
      <c r="P1321" s="23" t="s">
        <v>3935</v>
      </c>
      <c r="Q1321" s="23">
        <v>45291</v>
      </c>
      <c r="R1321" s="32">
        <v>45657</v>
      </c>
      <c r="V1321" s="33">
        <v>100</v>
      </c>
      <c r="W1321" s="28">
        <v>64.29</v>
      </c>
      <c r="X1321" s="34" t="s">
        <v>54</v>
      </c>
      <c r="Y1321" s="33">
        <v>64.29</v>
      </c>
      <c r="AC1321" s="28">
        <v>64.29</v>
      </c>
      <c r="AD1321" s="34" t="s">
        <v>54</v>
      </c>
      <c r="AE1321" s="33">
        <v>64.29</v>
      </c>
      <c r="AN1321" s="7" t="s">
        <v>54</v>
      </c>
      <c r="AO1321" s="7" t="s">
        <v>55</v>
      </c>
      <c r="AP1321" s="7" t="s">
        <v>56</v>
      </c>
      <c r="AT1321" s="47" t="s">
        <v>57</v>
      </c>
      <c r="AU1321" s="47" t="s">
        <v>57</v>
      </c>
    </row>
    <row r="1322" spans="1:47">
      <c r="A1322" s="4" t="s">
        <v>48</v>
      </c>
      <c r="C1322" s="21"/>
      <c r="D1322" s="22" t="s">
        <v>49</v>
      </c>
      <c r="G1322" s="23">
        <v>45090</v>
      </c>
      <c r="H1322" s="24" t="s">
        <v>3936</v>
      </c>
      <c r="J1322" s="28" t="s">
        <v>51</v>
      </c>
      <c r="L1322" s="24" t="s">
        <v>3937</v>
      </c>
      <c r="M1322" s="1" t="str">
        <f>"132821195807132514"</f>
        <v>132821195807132514</v>
      </c>
      <c r="N1322" s="24" t="s">
        <v>3937</v>
      </c>
      <c r="O1322" s="1" t="str">
        <f>"132821195807132514"</f>
        <v>132821195807132514</v>
      </c>
      <c r="P1322" s="23" t="s">
        <v>3938</v>
      </c>
      <c r="Q1322" s="23">
        <v>45091</v>
      </c>
      <c r="R1322" s="32">
        <v>45457</v>
      </c>
      <c r="V1322" s="33">
        <v>100</v>
      </c>
      <c r="W1322" s="28">
        <v>64.29</v>
      </c>
      <c r="X1322" s="34" t="s">
        <v>54</v>
      </c>
      <c r="Y1322" s="33">
        <v>64.29</v>
      </c>
      <c r="AC1322" s="28">
        <v>64.29</v>
      </c>
      <c r="AD1322" s="34" t="s">
        <v>54</v>
      </c>
      <c r="AE1322" s="33">
        <v>64.29</v>
      </c>
      <c r="AN1322" s="7" t="s">
        <v>54</v>
      </c>
      <c r="AO1322" s="7" t="s">
        <v>55</v>
      </c>
      <c r="AP1322" s="7" t="s">
        <v>56</v>
      </c>
      <c r="AT1322" s="47" t="s">
        <v>57</v>
      </c>
      <c r="AU1322" s="47" t="s">
        <v>57</v>
      </c>
    </row>
    <row r="1323" spans="1:47">
      <c r="A1323" s="4" t="s">
        <v>48</v>
      </c>
      <c r="C1323" s="21"/>
      <c r="D1323" s="22" t="s">
        <v>49</v>
      </c>
      <c r="G1323" s="23">
        <v>45090</v>
      </c>
      <c r="H1323" s="24" t="s">
        <v>3939</v>
      </c>
      <c r="J1323" s="28" t="s">
        <v>51</v>
      </c>
      <c r="L1323" s="24" t="s">
        <v>3940</v>
      </c>
      <c r="M1323" s="1" t="str">
        <f>"120222199107102013"</f>
        <v>120222199107102013</v>
      </c>
      <c r="N1323" s="24" t="s">
        <v>3940</v>
      </c>
      <c r="O1323" s="1" t="str">
        <f>"120222199107102013"</f>
        <v>120222199107102013</v>
      </c>
      <c r="P1323" s="23" t="s">
        <v>3941</v>
      </c>
      <c r="Q1323" s="23">
        <v>45091</v>
      </c>
      <c r="R1323" s="32">
        <v>45457</v>
      </c>
      <c r="V1323" s="33">
        <v>100</v>
      </c>
      <c r="W1323" s="28">
        <v>64.29</v>
      </c>
      <c r="X1323" s="34" t="s">
        <v>54</v>
      </c>
      <c r="Y1323" s="33">
        <v>64.29</v>
      </c>
      <c r="AC1323" s="28">
        <v>64.29</v>
      </c>
      <c r="AD1323" s="34" t="s">
        <v>54</v>
      </c>
      <c r="AE1323" s="33">
        <v>64.29</v>
      </c>
      <c r="AN1323" s="7" t="s">
        <v>54</v>
      </c>
      <c r="AO1323" s="7" t="s">
        <v>55</v>
      </c>
      <c r="AP1323" s="7" t="s">
        <v>56</v>
      </c>
      <c r="AT1323" s="47" t="s">
        <v>57</v>
      </c>
      <c r="AU1323" s="47" t="s">
        <v>57</v>
      </c>
    </row>
    <row r="1324" spans="1:47">
      <c r="A1324" s="4" t="s">
        <v>48</v>
      </c>
      <c r="C1324" s="21"/>
      <c r="D1324" s="22" t="s">
        <v>49</v>
      </c>
      <c r="G1324" s="23">
        <v>45077</v>
      </c>
      <c r="H1324" s="24" t="s">
        <v>3942</v>
      </c>
      <c r="J1324" s="28" t="s">
        <v>51</v>
      </c>
      <c r="L1324" s="24" t="s">
        <v>3943</v>
      </c>
      <c r="M1324" s="1" t="str">
        <f>"131082198701310775"</f>
        <v>131082198701310775</v>
      </c>
      <c r="N1324" s="24" t="s">
        <v>3943</v>
      </c>
      <c r="O1324" s="1" t="str">
        <f>"131082198701310775"</f>
        <v>131082198701310775</v>
      </c>
      <c r="P1324" s="23" t="s">
        <v>3944</v>
      </c>
      <c r="Q1324" s="23">
        <v>45288</v>
      </c>
      <c r="R1324" s="32">
        <v>45654</v>
      </c>
      <c r="V1324" s="33">
        <v>100</v>
      </c>
      <c r="W1324" s="28">
        <v>64.29</v>
      </c>
      <c r="X1324" s="34" t="s">
        <v>54</v>
      </c>
      <c r="Y1324" s="33">
        <v>64.29</v>
      </c>
      <c r="AC1324" s="28">
        <v>64.29</v>
      </c>
      <c r="AD1324" s="34" t="s">
        <v>54</v>
      </c>
      <c r="AE1324" s="33">
        <v>64.29</v>
      </c>
      <c r="AN1324" s="7" t="s">
        <v>54</v>
      </c>
      <c r="AO1324" s="7" t="s">
        <v>55</v>
      </c>
      <c r="AP1324" s="7" t="s">
        <v>56</v>
      </c>
      <c r="AT1324" s="47" t="s">
        <v>57</v>
      </c>
      <c r="AU1324" s="47" t="s">
        <v>57</v>
      </c>
    </row>
    <row r="1325" spans="1:47">
      <c r="A1325" s="4" t="s">
        <v>48</v>
      </c>
      <c r="C1325" s="21"/>
      <c r="D1325" s="22" t="s">
        <v>49</v>
      </c>
      <c r="G1325" s="23">
        <v>45077</v>
      </c>
      <c r="H1325" s="24" t="s">
        <v>3945</v>
      </c>
      <c r="J1325" s="28" t="s">
        <v>51</v>
      </c>
      <c r="L1325" s="24" t="s">
        <v>3946</v>
      </c>
      <c r="M1325" s="1" t="str">
        <f>"34242719921005553X"</f>
        <v>34242719921005553X</v>
      </c>
      <c r="N1325" s="24" t="s">
        <v>3946</v>
      </c>
      <c r="O1325" s="1" t="str">
        <f>"34242719921005553X"</f>
        <v>34242719921005553X</v>
      </c>
      <c r="P1325" s="23" t="s">
        <v>3947</v>
      </c>
      <c r="Q1325" s="23">
        <v>45166</v>
      </c>
      <c r="R1325" s="32">
        <v>45532</v>
      </c>
      <c r="V1325" s="33">
        <v>100</v>
      </c>
      <c r="W1325" s="28">
        <v>64.29</v>
      </c>
      <c r="X1325" s="34" t="s">
        <v>54</v>
      </c>
      <c r="Y1325" s="33">
        <v>64.29</v>
      </c>
      <c r="AC1325" s="28">
        <v>64.29</v>
      </c>
      <c r="AD1325" s="34" t="s">
        <v>54</v>
      </c>
      <c r="AE1325" s="33">
        <v>64.29</v>
      </c>
      <c r="AN1325" s="7" t="s">
        <v>54</v>
      </c>
      <c r="AO1325" s="7" t="s">
        <v>55</v>
      </c>
      <c r="AP1325" s="7" t="s">
        <v>56</v>
      </c>
      <c r="AT1325" s="47" t="s">
        <v>57</v>
      </c>
      <c r="AU1325" s="47" t="s">
        <v>57</v>
      </c>
    </row>
    <row r="1326" spans="1:47">
      <c r="A1326" s="4" t="s">
        <v>48</v>
      </c>
      <c r="C1326" s="21"/>
      <c r="D1326" s="22" t="s">
        <v>49</v>
      </c>
      <c r="G1326" s="23">
        <v>45078</v>
      </c>
      <c r="H1326" s="24" t="s">
        <v>3948</v>
      </c>
      <c r="J1326" s="28" t="s">
        <v>51</v>
      </c>
      <c r="L1326" s="24" t="s">
        <v>3949</v>
      </c>
      <c r="M1326" s="1" t="str">
        <f>"131082199010060775"</f>
        <v>131082199010060775</v>
      </c>
      <c r="N1326" s="24" t="s">
        <v>3949</v>
      </c>
      <c r="O1326" s="1" t="str">
        <f>"131082199010060775"</f>
        <v>131082199010060775</v>
      </c>
      <c r="P1326" s="23" t="s">
        <v>3950</v>
      </c>
      <c r="Q1326" s="23">
        <v>45079</v>
      </c>
      <c r="R1326" s="32">
        <v>45445</v>
      </c>
      <c r="V1326" s="33">
        <v>100</v>
      </c>
      <c r="W1326" s="28">
        <v>64.29</v>
      </c>
      <c r="X1326" s="34" t="s">
        <v>54</v>
      </c>
      <c r="Y1326" s="33">
        <v>64.29</v>
      </c>
      <c r="AC1326" s="28">
        <v>64.29</v>
      </c>
      <c r="AD1326" s="34" t="s">
        <v>54</v>
      </c>
      <c r="AE1326" s="33">
        <v>64.29</v>
      </c>
      <c r="AN1326" s="7" t="s">
        <v>54</v>
      </c>
      <c r="AO1326" s="7" t="s">
        <v>55</v>
      </c>
      <c r="AP1326" s="7" t="s">
        <v>56</v>
      </c>
      <c r="AT1326" s="47" t="s">
        <v>57</v>
      </c>
      <c r="AU1326" s="47" t="s">
        <v>57</v>
      </c>
    </row>
    <row r="1327" spans="1:47">
      <c r="A1327" s="4" t="s">
        <v>48</v>
      </c>
      <c r="C1327" s="21"/>
      <c r="D1327" s="22" t="s">
        <v>49</v>
      </c>
      <c r="G1327" s="23">
        <v>45077</v>
      </c>
      <c r="H1327" s="24" t="s">
        <v>3951</v>
      </c>
      <c r="J1327" s="28" t="s">
        <v>51</v>
      </c>
      <c r="L1327" s="24" t="s">
        <v>3952</v>
      </c>
      <c r="M1327" s="1" t="str">
        <f>"132821195204098273"</f>
        <v>132821195204098273</v>
      </c>
      <c r="N1327" s="24" t="s">
        <v>3952</v>
      </c>
      <c r="O1327" s="1" t="str">
        <f>"132821195204098273"</f>
        <v>132821195204098273</v>
      </c>
      <c r="P1327" s="23" t="s">
        <v>3953</v>
      </c>
      <c r="Q1327" s="23">
        <v>45288</v>
      </c>
      <c r="R1327" s="32">
        <v>45654</v>
      </c>
      <c r="V1327" s="33">
        <v>100</v>
      </c>
      <c r="W1327" s="28">
        <v>64.29</v>
      </c>
      <c r="X1327" s="34" t="s">
        <v>54</v>
      </c>
      <c r="Y1327" s="33">
        <v>64.29</v>
      </c>
      <c r="AC1327" s="28">
        <v>64.29</v>
      </c>
      <c r="AD1327" s="34" t="s">
        <v>54</v>
      </c>
      <c r="AE1327" s="33">
        <v>64.29</v>
      </c>
      <c r="AN1327" s="7" t="s">
        <v>54</v>
      </c>
      <c r="AO1327" s="7" t="s">
        <v>55</v>
      </c>
      <c r="AP1327" s="7" t="s">
        <v>56</v>
      </c>
      <c r="AT1327" s="47" t="s">
        <v>57</v>
      </c>
      <c r="AU1327" s="47" t="s">
        <v>57</v>
      </c>
    </row>
    <row r="1328" spans="1:47">
      <c r="A1328" s="4" t="s">
        <v>48</v>
      </c>
      <c r="C1328" s="21"/>
      <c r="D1328" s="22" t="s">
        <v>49</v>
      </c>
      <c r="G1328" s="23">
        <v>45078</v>
      </c>
      <c r="H1328" s="24" t="s">
        <v>3954</v>
      </c>
      <c r="J1328" s="28" t="s">
        <v>51</v>
      </c>
      <c r="L1328" s="24" t="s">
        <v>3955</v>
      </c>
      <c r="M1328" s="1" t="str">
        <f>"132821196206098271"</f>
        <v>132821196206098271</v>
      </c>
      <c r="N1328" s="24" t="s">
        <v>3955</v>
      </c>
      <c r="O1328" s="1" t="str">
        <f>"132821196206098271"</f>
        <v>132821196206098271</v>
      </c>
      <c r="P1328" s="23" t="s">
        <v>3956</v>
      </c>
      <c r="Q1328" s="23">
        <v>45079</v>
      </c>
      <c r="R1328" s="32">
        <v>45445</v>
      </c>
      <c r="V1328" s="33">
        <v>200</v>
      </c>
      <c r="W1328" s="28">
        <v>64.29</v>
      </c>
      <c r="X1328" s="34" t="s">
        <v>54</v>
      </c>
      <c r="Y1328" s="33">
        <v>128.58</v>
      </c>
      <c r="AC1328" s="28">
        <v>64.29</v>
      </c>
      <c r="AD1328" s="34" t="s">
        <v>54</v>
      </c>
      <c r="AE1328" s="33">
        <v>128.58</v>
      </c>
      <c r="AN1328" s="7" t="s">
        <v>54</v>
      </c>
      <c r="AO1328" s="7" t="s">
        <v>55</v>
      </c>
      <c r="AP1328" s="7" t="s">
        <v>56</v>
      </c>
      <c r="AT1328" s="47" t="s">
        <v>57</v>
      </c>
      <c r="AU1328" s="47" t="s">
        <v>57</v>
      </c>
    </row>
    <row r="1329" spans="1:47">
      <c r="A1329" s="4" t="s">
        <v>48</v>
      </c>
      <c r="C1329" s="21"/>
      <c r="D1329" s="22" t="s">
        <v>49</v>
      </c>
      <c r="G1329" s="23">
        <v>45097</v>
      </c>
      <c r="H1329" s="24" t="s">
        <v>3957</v>
      </c>
      <c r="J1329" s="28" t="s">
        <v>51</v>
      </c>
      <c r="L1329" s="24" t="s">
        <v>3958</v>
      </c>
      <c r="M1329" s="1" t="str">
        <f>"132821197008242513"</f>
        <v>132821197008242513</v>
      </c>
      <c r="N1329" s="24" t="s">
        <v>3958</v>
      </c>
      <c r="O1329" s="1" t="str">
        <f>"132821197008242513"</f>
        <v>132821197008242513</v>
      </c>
      <c r="P1329" s="23" t="s">
        <v>3959</v>
      </c>
      <c r="Q1329" s="23">
        <v>45098</v>
      </c>
      <c r="R1329" s="32">
        <v>45464</v>
      </c>
      <c r="V1329" s="33">
        <v>50</v>
      </c>
      <c r="W1329" s="28">
        <v>64.29</v>
      </c>
      <c r="X1329" s="34" t="s">
        <v>54</v>
      </c>
      <c r="Y1329" s="33">
        <v>32.15</v>
      </c>
      <c r="AC1329" s="28">
        <v>64.29</v>
      </c>
      <c r="AD1329" s="34" t="s">
        <v>54</v>
      </c>
      <c r="AE1329" s="33">
        <v>32.15</v>
      </c>
      <c r="AN1329" s="7" t="s">
        <v>54</v>
      </c>
      <c r="AO1329" s="7" t="s">
        <v>55</v>
      </c>
      <c r="AP1329" s="7" t="s">
        <v>56</v>
      </c>
      <c r="AT1329" s="47" t="s">
        <v>57</v>
      </c>
      <c r="AU1329" s="47" t="s">
        <v>57</v>
      </c>
    </row>
    <row r="1330" spans="1:47">
      <c r="A1330" s="4" t="s">
        <v>48</v>
      </c>
      <c r="C1330" s="21"/>
      <c r="D1330" s="22" t="s">
        <v>49</v>
      </c>
      <c r="G1330" s="23">
        <v>45095</v>
      </c>
      <c r="H1330" s="24" t="s">
        <v>3960</v>
      </c>
      <c r="J1330" s="28" t="s">
        <v>51</v>
      </c>
      <c r="L1330" s="24" t="s">
        <v>3961</v>
      </c>
      <c r="M1330" s="1" t="str">
        <f>"132821195204098273"</f>
        <v>132821195204098273</v>
      </c>
      <c r="N1330" s="24" t="s">
        <v>3961</v>
      </c>
      <c r="O1330" s="1" t="str">
        <f>"132821195204098273"</f>
        <v>132821195204098273</v>
      </c>
      <c r="P1330" s="23" t="s">
        <v>3953</v>
      </c>
      <c r="Q1330" s="23">
        <v>45096</v>
      </c>
      <c r="R1330" s="32">
        <v>45462</v>
      </c>
      <c r="V1330" s="33">
        <v>50</v>
      </c>
      <c r="W1330" s="28">
        <v>64.29</v>
      </c>
      <c r="X1330" s="34" t="s">
        <v>54</v>
      </c>
      <c r="Y1330" s="33">
        <v>32.15</v>
      </c>
      <c r="AC1330" s="28">
        <v>64.29</v>
      </c>
      <c r="AD1330" s="34" t="s">
        <v>54</v>
      </c>
      <c r="AE1330" s="33">
        <v>32.15</v>
      </c>
      <c r="AN1330" s="7" t="s">
        <v>54</v>
      </c>
      <c r="AO1330" s="7" t="s">
        <v>55</v>
      </c>
      <c r="AP1330" s="7" t="s">
        <v>56</v>
      </c>
      <c r="AT1330" s="47" t="s">
        <v>57</v>
      </c>
      <c r="AU1330" s="47" t="s">
        <v>57</v>
      </c>
    </row>
    <row r="1331" spans="1:47">
      <c r="A1331" s="4" t="s">
        <v>48</v>
      </c>
      <c r="C1331" s="21"/>
      <c r="D1331" s="22" t="s">
        <v>49</v>
      </c>
      <c r="G1331" s="23">
        <v>45095</v>
      </c>
      <c r="H1331" s="24" t="s">
        <v>3962</v>
      </c>
      <c r="J1331" s="28" t="s">
        <v>51</v>
      </c>
      <c r="L1331" s="24" t="s">
        <v>3963</v>
      </c>
      <c r="M1331" s="1" t="str">
        <f>"132821196309228278"</f>
        <v>132821196309228278</v>
      </c>
      <c r="N1331" s="24" t="s">
        <v>3963</v>
      </c>
      <c r="O1331" s="1" t="str">
        <f>"132821196309228278"</f>
        <v>132821196309228278</v>
      </c>
      <c r="P1331" s="23" t="s">
        <v>3964</v>
      </c>
      <c r="Q1331" s="23">
        <v>45096</v>
      </c>
      <c r="R1331" s="32">
        <v>45462</v>
      </c>
      <c r="V1331" s="33">
        <v>50</v>
      </c>
      <c r="W1331" s="28">
        <v>64.29</v>
      </c>
      <c r="X1331" s="34" t="s">
        <v>54</v>
      </c>
      <c r="Y1331" s="33">
        <v>32.15</v>
      </c>
      <c r="AC1331" s="28">
        <v>64.29</v>
      </c>
      <c r="AD1331" s="34" t="s">
        <v>54</v>
      </c>
      <c r="AE1331" s="33">
        <v>32.15</v>
      </c>
      <c r="AN1331" s="7" t="s">
        <v>54</v>
      </c>
      <c r="AO1331" s="7" t="s">
        <v>55</v>
      </c>
      <c r="AP1331" s="7" t="s">
        <v>56</v>
      </c>
      <c r="AT1331" s="47" t="s">
        <v>57</v>
      </c>
      <c r="AU1331" s="47" t="s">
        <v>57</v>
      </c>
    </row>
    <row r="1332" spans="1:47">
      <c r="A1332" s="4" t="s">
        <v>48</v>
      </c>
      <c r="C1332" s="21"/>
      <c r="D1332" s="22" t="s">
        <v>49</v>
      </c>
      <c r="G1332" s="23">
        <v>45102</v>
      </c>
      <c r="H1332" s="24" t="s">
        <v>3965</v>
      </c>
      <c r="J1332" s="28" t="s">
        <v>51</v>
      </c>
      <c r="L1332" s="24" t="s">
        <v>3966</v>
      </c>
      <c r="M1332" s="1" t="str">
        <f>"132821197209092515"</f>
        <v>132821197209092515</v>
      </c>
      <c r="N1332" s="24" t="s">
        <v>3966</v>
      </c>
      <c r="O1332" s="1" t="str">
        <f>"132821197209092515"</f>
        <v>132821197209092515</v>
      </c>
      <c r="P1332" s="23" t="s">
        <v>3967</v>
      </c>
      <c r="Q1332" s="23">
        <v>45291</v>
      </c>
      <c r="R1332" s="32">
        <v>45657</v>
      </c>
      <c r="V1332" s="33">
        <v>100</v>
      </c>
      <c r="W1332" s="28">
        <v>64.29</v>
      </c>
      <c r="X1332" s="34" t="s">
        <v>54</v>
      </c>
      <c r="Y1332" s="33">
        <v>64.29</v>
      </c>
      <c r="AC1332" s="28">
        <v>64.29</v>
      </c>
      <c r="AD1332" s="34" t="s">
        <v>54</v>
      </c>
      <c r="AE1332" s="33">
        <v>64.29</v>
      </c>
      <c r="AN1332" s="7" t="s">
        <v>54</v>
      </c>
      <c r="AO1332" s="7" t="s">
        <v>55</v>
      </c>
      <c r="AP1332" s="7" t="s">
        <v>56</v>
      </c>
      <c r="AT1332" s="47" t="s">
        <v>57</v>
      </c>
      <c r="AU1332" s="47" t="s">
        <v>57</v>
      </c>
    </row>
    <row r="1333" spans="1:47">
      <c r="A1333" s="4" t="s">
        <v>48</v>
      </c>
      <c r="C1333" s="21"/>
      <c r="D1333" s="22" t="s">
        <v>49</v>
      </c>
      <c r="G1333" s="23">
        <v>45101</v>
      </c>
      <c r="H1333" s="24" t="s">
        <v>3968</v>
      </c>
      <c r="J1333" s="28" t="s">
        <v>51</v>
      </c>
      <c r="L1333" s="24" t="s">
        <v>3969</v>
      </c>
      <c r="M1333" s="1" t="str">
        <f>"131082196210030614"</f>
        <v>131082196210030614</v>
      </c>
      <c r="N1333" s="24" t="s">
        <v>3969</v>
      </c>
      <c r="O1333" s="1" t="str">
        <f>"131082196210030614"</f>
        <v>131082196210030614</v>
      </c>
      <c r="P1333" s="23" t="s">
        <v>3970</v>
      </c>
      <c r="Q1333" s="23">
        <v>45102</v>
      </c>
      <c r="R1333" s="32">
        <v>45468</v>
      </c>
      <c r="V1333" s="33">
        <v>100</v>
      </c>
      <c r="W1333" s="28">
        <v>64.29</v>
      </c>
      <c r="X1333" s="34" t="s">
        <v>54</v>
      </c>
      <c r="Y1333" s="33">
        <v>64.29</v>
      </c>
      <c r="AC1333" s="28">
        <v>64.29</v>
      </c>
      <c r="AD1333" s="34" t="s">
        <v>54</v>
      </c>
      <c r="AE1333" s="33">
        <v>64.29</v>
      </c>
      <c r="AN1333" s="7" t="s">
        <v>54</v>
      </c>
      <c r="AO1333" s="7" t="s">
        <v>55</v>
      </c>
      <c r="AP1333" s="7" t="s">
        <v>56</v>
      </c>
      <c r="AT1333" s="47" t="s">
        <v>57</v>
      </c>
      <c r="AU1333" s="47" t="s">
        <v>57</v>
      </c>
    </row>
    <row r="1334" spans="1:47">
      <c r="A1334" s="4" t="s">
        <v>48</v>
      </c>
      <c r="C1334" s="21"/>
      <c r="D1334" s="22" t="s">
        <v>49</v>
      </c>
      <c r="G1334" s="23">
        <v>45098</v>
      </c>
      <c r="H1334" s="24" t="s">
        <v>3971</v>
      </c>
      <c r="J1334" s="28" t="s">
        <v>51</v>
      </c>
      <c r="L1334" s="24" t="s">
        <v>3972</v>
      </c>
      <c r="M1334" s="1" t="str">
        <f>"131082196710072546"</f>
        <v>131082196710072546</v>
      </c>
      <c r="N1334" s="24" t="s">
        <v>3972</v>
      </c>
      <c r="O1334" s="1" t="str">
        <f>"131082196710072546"</f>
        <v>131082196710072546</v>
      </c>
      <c r="P1334" s="23" t="s">
        <v>3973</v>
      </c>
      <c r="Q1334" s="23">
        <v>45099</v>
      </c>
      <c r="R1334" s="32">
        <v>45465</v>
      </c>
      <c r="V1334" s="33">
        <v>100</v>
      </c>
      <c r="W1334" s="28">
        <v>64.29</v>
      </c>
      <c r="X1334" s="34" t="s">
        <v>54</v>
      </c>
      <c r="Y1334" s="33">
        <v>64.29</v>
      </c>
      <c r="AC1334" s="28">
        <v>64.29</v>
      </c>
      <c r="AD1334" s="34" t="s">
        <v>54</v>
      </c>
      <c r="AE1334" s="33">
        <v>64.29</v>
      </c>
      <c r="AN1334" s="7" t="s">
        <v>54</v>
      </c>
      <c r="AO1334" s="7" t="s">
        <v>55</v>
      </c>
      <c r="AP1334" s="7" t="s">
        <v>56</v>
      </c>
      <c r="AT1334" s="47" t="s">
        <v>57</v>
      </c>
      <c r="AU1334" s="47" t="s">
        <v>57</v>
      </c>
    </row>
    <row r="1335" spans="1:47">
      <c r="A1335" s="4" t="s">
        <v>48</v>
      </c>
      <c r="C1335" s="21"/>
      <c r="D1335" s="22" t="s">
        <v>49</v>
      </c>
      <c r="G1335" s="23">
        <v>45098</v>
      </c>
      <c r="H1335" s="24" t="s">
        <v>3974</v>
      </c>
      <c r="J1335" s="28" t="s">
        <v>51</v>
      </c>
      <c r="L1335" s="24" t="s">
        <v>3975</v>
      </c>
      <c r="M1335" s="1" t="str">
        <f>"132821195309018284"</f>
        <v>132821195309018284</v>
      </c>
      <c r="N1335" s="24" t="s">
        <v>3975</v>
      </c>
      <c r="O1335" s="1" t="str">
        <f>"132821195309018284"</f>
        <v>132821195309018284</v>
      </c>
      <c r="P1335" s="23" t="s">
        <v>3976</v>
      </c>
      <c r="Q1335" s="23">
        <v>45099</v>
      </c>
      <c r="R1335" s="32">
        <v>45465</v>
      </c>
      <c r="V1335" s="33">
        <v>100</v>
      </c>
      <c r="W1335" s="28">
        <v>64.29</v>
      </c>
      <c r="X1335" s="34" t="s">
        <v>54</v>
      </c>
      <c r="Y1335" s="33">
        <v>64.29</v>
      </c>
      <c r="AC1335" s="28">
        <v>64.29</v>
      </c>
      <c r="AD1335" s="34" t="s">
        <v>54</v>
      </c>
      <c r="AE1335" s="33">
        <v>64.29</v>
      </c>
      <c r="AN1335" s="7" t="s">
        <v>54</v>
      </c>
      <c r="AO1335" s="7" t="s">
        <v>55</v>
      </c>
      <c r="AP1335" s="7" t="s">
        <v>56</v>
      </c>
      <c r="AT1335" s="47" t="s">
        <v>57</v>
      </c>
      <c r="AU1335" s="47" t="s">
        <v>57</v>
      </c>
    </row>
    <row r="1336" spans="1:47">
      <c r="A1336" s="4" t="s">
        <v>48</v>
      </c>
      <c r="C1336" s="21"/>
      <c r="D1336" s="22" t="s">
        <v>49</v>
      </c>
      <c r="G1336" s="23">
        <v>45098</v>
      </c>
      <c r="H1336" s="24" t="s">
        <v>3977</v>
      </c>
      <c r="J1336" s="28" t="s">
        <v>51</v>
      </c>
      <c r="L1336" s="24" t="s">
        <v>3978</v>
      </c>
      <c r="M1336" s="1" t="str">
        <f>"132821196507028277"</f>
        <v>132821196507028277</v>
      </c>
      <c r="N1336" s="24" t="s">
        <v>3978</v>
      </c>
      <c r="O1336" s="1" t="str">
        <f>"132821196507028277"</f>
        <v>132821196507028277</v>
      </c>
      <c r="P1336" s="23" t="s">
        <v>3979</v>
      </c>
      <c r="Q1336" s="23">
        <v>45099</v>
      </c>
      <c r="R1336" s="32">
        <v>45465</v>
      </c>
      <c r="V1336" s="33">
        <v>100</v>
      </c>
      <c r="W1336" s="28">
        <v>64.29</v>
      </c>
      <c r="X1336" s="34" t="s">
        <v>54</v>
      </c>
      <c r="Y1336" s="33">
        <v>64.29</v>
      </c>
      <c r="AC1336" s="28">
        <v>64.29</v>
      </c>
      <c r="AD1336" s="34" t="s">
        <v>54</v>
      </c>
      <c r="AE1336" s="33">
        <v>64.29</v>
      </c>
      <c r="AN1336" s="7" t="s">
        <v>54</v>
      </c>
      <c r="AO1336" s="7" t="s">
        <v>55</v>
      </c>
      <c r="AP1336" s="7" t="s">
        <v>56</v>
      </c>
      <c r="AT1336" s="47" t="s">
        <v>57</v>
      </c>
      <c r="AU1336" s="47" t="s">
        <v>57</v>
      </c>
    </row>
    <row r="1337" spans="1:47">
      <c r="A1337" s="4" t="s">
        <v>48</v>
      </c>
      <c r="C1337" s="21"/>
      <c r="D1337" s="22" t="s">
        <v>49</v>
      </c>
      <c r="G1337" s="23">
        <v>45090</v>
      </c>
      <c r="H1337" s="24" t="s">
        <v>3980</v>
      </c>
      <c r="J1337" s="28" t="s">
        <v>51</v>
      </c>
      <c r="L1337" s="24" t="s">
        <v>3981</v>
      </c>
      <c r="M1337" s="1" t="str">
        <f>"131082196507152532"</f>
        <v>131082196507152532</v>
      </c>
      <c r="N1337" s="24" t="s">
        <v>3981</v>
      </c>
      <c r="O1337" s="1" t="str">
        <f>"131082196507152532"</f>
        <v>131082196507152532</v>
      </c>
      <c r="P1337" s="23" t="s">
        <v>3973</v>
      </c>
      <c r="Q1337" s="23">
        <v>45168</v>
      </c>
      <c r="R1337" s="32">
        <v>45534</v>
      </c>
      <c r="V1337" s="33">
        <v>100</v>
      </c>
      <c r="W1337" s="28">
        <v>64.29</v>
      </c>
      <c r="X1337" s="34" t="s">
        <v>54</v>
      </c>
      <c r="Y1337" s="33">
        <v>64.29</v>
      </c>
      <c r="AC1337" s="28">
        <v>64.29</v>
      </c>
      <c r="AD1337" s="34" t="s">
        <v>54</v>
      </c>
      <c r="AE1337" s="33">
        <v>64.29</v>
      </c>
      <c r="AN1337" s="7" t="s">
        <v>54</v>
      </c>
      <c r="AO1337" s="7" t="s">
        <v>55</v>
      </c>
      <c r="AP1337" s="7" t="s">
        <v>56</v>
      </c>
      <c r="AT1337" s="47" t="s">
        <v>57</v>
      </c>
      <c r="AU1337" s="47" t="s">
        <v>57</v>
      </c>
    </row>
    <row r="1338" spans="1:47">
      <c r="A1338" s="4" t="s">
        <v>48</v>
      </c>
      <c r="C1338" s="21"/>
      <c r="D1338" s="22" t="s">
        <v>49</v>
      </c>
      <c r="G1338" s="23">
        <v>45090</v>
      </c>
      <c r="H1338" s="24" t="s">
        <v>3982</v>
      </c>
      <c r="J1338" s="28" t="s">
        <v>51</v>
      </c>
      <c r="L1338" s="24" t="s">
        <v>3983</v>
      </c>
      <c r="M1338" s="1" t="str">
        <f>"131082196705182994"</f>
        <v>131082196705182994</v>
      </c>
      <c r="N1338" s="24" t="s">
        <v>3983</v>
      </c>
      <c r="O1338" s="1" t="str">
        <f>"131082196705182994"</f>
        <v>131082196705182994</v>
      </c>
      <c r="P1338" s="23" t="s">
        <v>3984</v>
      </c>
      <c r="Q1338" s="23">
        <v>45138</v>
      </c>
      <c r="R1338" s="32">
        <v>45504</v>
      </c>
      <c r="V1338" s="33">
        <v>100</v>
      </c>
      <c r="W1338" s="28">
        <v>64.29</v>
      </c>
      <c r="X1338" s="34" t="s">
        <v>54</v>
      </c>
      <c r="Y1338" s="33">
        <v>64.29</v>
      </c>
      <c r="AC1338" s="28">
        <v>64.29</v>
      </c>
      <c r="AD1338" s="34" t="s">
        <v>54</v>
      </c>
      <c r="AE1338" s="33">
        <v>64.29</v>
      </c>
      <c r="AN1338" s="7" t="s">
        <v>54</v>
      </c>
      <c r="AO1338" s="7" t="s">
        <v>55</v>
      </c>
      <c r="AP1338" s="7" t="s">
        <v>56</v>
      </c>
      <c r="AT1338" s="47" t="s">
        <v>57</v>
      </c>
      <c r="AU1338" s="47" t="s">
        <v>57</v>
      </c>
    </row>
    <row r="1339" spans="1:47">
      <c r="A1339" s="4" t="s">
        <v>48</v>
      </c>
      <c r="C1339" s="21"/>
      <c r="D1339" s="22" t="s">
        <v>49</v>
      </c>
      <c r="G1339" s="23">
        <v>45090</v>
      </c>
      <c r="H1339" s="24" t="s">
        <v>3985</v>
      </c>
      <c r="J1339" s="28" t="s">
        <v>51</v>
      </c>
      <c r="L1339" s="24" t="s">
        <v>3986</v>
      </c>
      <c r="M1339" s="1" t="str">
        <f>"132821196907018270"</f>
        <v>132821196907018270</v>
      </c>
      <c r="N1339" s="24" t="s">
        <v>3986</v>
      </c>
      <c r="O1339" s="1" t="str">
        <f>"132821196907018270"</f>
        <v>132821196907018270</v>
      </c>
      <c r="P1339" s="23" t="s">
        <v>3987</v>
      </c>
      <c r="Q1339" s="23">
        <v>45091</v>
      </c>
      <c r="R1339" s="32">
        <v>45457</v>
      </c>
      <c r="V1339" s="33">
        <v>100</v>
      </c>
      <c r="W1339" s="28">
        <v>64.29</v>
      </c>
      <c r="X1339" s="34" t="s">
        <v>54</v>
      </c>
      <c r="Y1339" s="33">
        <v>64.29</v>
      </c>
      <c r="AC1339" s="28">
        <v>64.29</v>
      </c>
      <c r="AD1339" s="34" t="s">
        <v>54</v>
      </c>
      <c r="AE1339" s="33">
        <v>64.29</v>
      </c>
      <c r="AN1339" s="7" t="s">
        <v>54</v>
      </c>
      <c r="AO1339" s="7" t="s">
        <v>55</v>
      </c>
      <c r="AP1339" s="7" t="s">
        <v>56</v>
      </c>
      <c r="AT1339" s="47" t="s">
        <v>57</v>
      </c>
      <c r="AU1339" s="47" t="s">
        <v>57</v>
      </c>
    </row>
    <row r="1340" spans="1:47">
      <c r="A1340" s="4" t="s">
        <v>48</v>
      </c>
      <c r="C1340" s="21"/>
      <c r="D1340" s="22" t="s">
        <v>49</v>
      </c>
      <c r="G1340" s="23">
        <v>45089</v>
      </c>
      <c r="H1340" s="24" t="s">
        <v>3988</v>
      </c>
      <c r="J1340" s="28" t="s">
        <v>51</v>
      </c>
      <c r="L1340" s="24" t="s">
        <v>3989</v>
      </c>
      <c r="M1340" s="1" t="str">
        <f>"132821196604292512"</f>
        <v>132821196604292512</v>
      </c>
      <c r="N1340" s="24" t="s">
        <v>3989</v>
      </c>
      <c r="O1340" s="1" t="str">
        <f>"132821196604292512"</f>
        <v>132821196604292512</v>
      </c>
      <c r="P1340" s="23" t="s">
        <v>3990</v>
      </c>
      <c r="Q1340" s="23">
        <v>45090</v>
      </c>
      <c r="R1340" s="32">
        <v>45456</v>
      </c>
      <c r="V1340" s="33">
        <v>100</v>
      </c>
      <c r="W1340" s="28">
        <v>64.29</v>
      </c>
      <c r="X1340" s="34" t="s">
        <v>54</v>
      </c>
      <c r="Y1340" s="33">
        <v>64.29</v>
      </c>
      <c r="AC1340" s="28">
        <v>64.29</v>
      </c>
      <c r="AD1340" s="34" t="s">
        <v>54</v>
      </c>
      <c r="AE1340" s="33">
        <v>64.29</v>
      </c>
      <c r="AN1340" s="7" t="s">
        <v>54</v>
      </c>
      <c r="AO1340" s="7" t="s">
        <v>55</v>
      </c>
      <c r="AP1340" s="7" t="s">
        <v>56</v>
      </c>
      <c r="AT1340" s="47" t="s">
        <v>57</v>
      </c>
      <c r="AU1340" s="47" t="s">
        <v>57</v>
      </c>
    </row>
    <row r="1341" spans="1:47">
      <c r="A1341" s="4" t="s">
        <v>48</v>
      </c>
      <c r="C1341" s="21"/>
      <c r="D1341" s="22" t="s">
        <v>49</v>
      </c>
      <c r="G1341" s="23">
        <v>45078</v>
      </c>
      <c r="H1341" s="24" t="s">
        <v>3991</v>
      </c>
      <c r="J1341" s="28" t="s">
        <v>51</v>
      </c>
      <c r="L1341" s="24" t="s">
        <v>3992</v>
      </c>
      <c r="M1341" s="1" t="str">
        <f>"131082198908010518"</f>
        <v>131082198908010518</v>
      </c>
      <c r="N1341" s="24" t="s">
        <v>3992</v>
      </c>
      <c r="O1341" s="1" t="str">
        <f>"131082198908010518"</f>
        <v>131082198908010518</v>
      </c>
      <c r="P1341" s="23" t="s">
        <v>3993</v>
      </c>
      <c r="Q1341" s="23">
        <v>45079</v>
      </c>
      <c r="R1341" s="32">
        <v>45445</v>
      </c>
      <c r="V1341" s="33">
        <v>100</v>
      </c>
      <c r="W1341" s="28">
        <v>64.29</v>
      </c>
      <c r="X1341" s="34" t="s">
        <v>54</v>
      </c>
      <c r="Y1341" s="33">
        <v>64.29</v>
      </c>
      <c r="AC1341" s="28">
        <v>64.29</v>
      </c>
      <c r="AD1341" s="34" t="s">
        <v>54</v>
      </c>
      <c r="AE1341" s="33">
        <v>64.29</v>
      </c>
      <c r="AN1341" s="7" t="s">
        <v>54</v>
      </c>
      <c r="AO1341" s="7" t="s">
        <v>55</v>
      </c>
      <c r="AP1341" s="7" t="s">
        <v>56</v>
      </c>
      <c r="AT1341" s="47" t="s">
        <v>57</v>
      </c>
      <c r="AU1341" s="47" t="s">
        <v>57</v>
      </c>
    </row>
    <row r="1342" spans="1:47">
      <c r="A1342" s="4" t="s">
        <v>48</v>
      </c>
      <c r="C1342" s="21"/>
      <c r="D1342" s="22" t="s">
        <v>49</v>
      </c>
      <c r="G1342" s="23">
        <v>45078</v>
      </c>
      <c r="H1342" s="24" t="s">
        <v>3994</v>
      </c>
      <c r="J1342" s="28" t="s">
        <v>51</v>
      </c>
      <c r="L1342" s="24" t="s">
        <v>3995</v>
      </c>
      <c r="M1342" s="1" t="str">
        <f>"132821197103222510"</f>
        <v>132821197103222510</v>
      </c>
      <c r="N1342" s="24" t="s">
        <v>3995</v>
      </c>
      <c r="O1342" s="1" t="str">
        <f>"132821197103222510"</f>
        <v>132821197103222510</v>
      </c>
      <c r="P1342" s="23" t="s">
        <v>3996</v>
      </c>
      <c r="Q1342" s="23">
        <v>45079</v>
      </c>
      <c r="R1342" s="32">
        <v>45445</v>
      </c>
      <c r="V1342" s="33">
        <v>100</v>
      </c>
      <c r="W1342" s="28">
        <v>64.29</v>
      </c>
      <c r="X1342" s="34" t="s">
        <v>54</v>
      </c>
      <c r="Y1342" s="33">
        <v>64.29</v>
      </c>
      <c r="AC1342" s="28">
        <v>64.29</v>
      </c>
      <c r="AD1342" s="34" t="s">
        <v>54</v>
      </c>
      <c r="AE1342" s="33">
        <v>64.29</v>
      </c>
      <c r="AN1342" s="7" t="s">
        <v>54</v>
      </c>
      <c r="AO1342" s="7" t="s">
        <v>55</v>
      </c>
      <c r="AP1342" s="7" t="s">
        <v>56</v>
      </c>
      <c r="AT1342" s="47" t="s">
        <v>57</v>
      </c>
      <c r="AU1342" s="47" t="s">
        <v>57</v>
      </c>
    </row>
    <row r="1343" spans="1:47">
      <c r="A1343" s="4" t="s">
        <v>48</v>
      </c>
      <c r="C1343" s="21"/>
      <c r="D1343" s="22" t="s">
        <v>49</v>
      </c>
      <c r="G1343" s="23">
        <v>45092</v>
      </c>
      <c r="H1343" s="24" t="s">
        <v>3997</v>
      </c>
      <c r="J1343" s="28" t="s">
        <v>51</v>
      </c>
      <c r="L1343" s="24" t="s">
        <v>3998</v>
      </c>
      <c r="M1343" s="1" t="str">
        <f>"132821195002128286"</f>
        <v>132821195002128286</v>
      </c>
      <c r="N1343" s="24" t="s">
        <v>3998</v>
      </c>
      <c r="O1343" s="1" t="str">
        <f>"132821195002128286"</f>
        <v>132821195002128286</v>
      </c>
      <c r="P1343" s="23" t="s">
        <v>3999</v>
      </c>
      <c r="Q1343" s="23">
        <v>45093</v>
      </c>
      <c r="R1343" s="32">
        <v>45459</v>
      </c>
      <c r="V1343" s="33">
        <v>300</v>
      </c>
      <c r="W1343" s="28">
        <v>64.29</v>
      </c>
      <c r="X1343" s="34" t="s">
        <v>54</v>
      </c>
      <c r="Y1343" s="33">
        <v>192.87</v>
      </c>
      <c r="AC1343" s="28">
        <v>64.29</v>
      </c>
      <c r="AD1343" s="34" t="s">
        <v>54</v>
      </c>
      <c r="AE1343" s="33">
        <v>192.87</v>
      </c>
      <c r="AN1343" s="7" t="s">
        <v>54</v>
      </c>
      <c r="AO1343" s="7" t="s">
        <v>55</v>
      </c>
      <c r="AP1343" s="7" t="s">
        <v>56</v>
      </c>
      <c r="AT1343" s="47" t="s">
        <v>57</v>
      </c>
      <c r="AU1343" s="47" t="s">
        <v>57</v>
      </c>
    </row>
    <row r="1344" spans="1:47">
      <c r="A1344" s="4" t="s">
        <v>48</v>
      </c>
      <c r="C1344" s="21"/>
      <c r="D1344" s="22" t="s">
        <v>49</v>
      </c>
      <c r="G1344" s="23">
        <v>45091</v>
      </c>
      <c r="H1344" s="24" t="s">
        <v>4000</v>
      </c>
      <c r="J1344" s="28" t="s">
        <v>51</v>
      </c>
      <c r="L1344" s="24" t="s">
        <v>4001</v>
      </c>
      <c r="M1344" s="1" t="str">
        <f>"110103195501241818"</f>
        <v>110103195501241818</v>
      </c>
      <c r="N1344" s="24" t="s">
        <v>4001</v>
      </c>
      <c r="O1344" s="1" t="str">
        <f>"110103195501241818"</f>
        <v>110103195501241818</v>
      </c>
      <c r="P1344" s="23" t="s">
        <v>4002</v>
      </c>
      <c r="Q1344" s="23">
        <v>45096</v>
      </c>
      <c r="R1344" s="32">
        <v>45462</v>
      </c>
      <c r="V1344" s="33">
        <v>300</v>
      </c>
      <c r="W1344" s="28">
        <v>64.29</v>
      </c>
      <c r="X1344" s="34" t="s">
        <v>54</v>
      </c>
      <c r="Y1344" s="33">
        <v>192.87</v>
      </c>
      <c r="AC1344" s="28">
        <v>64.29</v>
      </c>
      <c r="AD1344" s="34" t="s">
        <v>54</v>
      </c>
      <c r="AE1344" s="33">
        <v>192.87</v>
      </c>
      <c r="AN1344" s="7" t="s">
        <v>54</v>
      </c>
      <c r="AO1344" s="7" t="s">
        <v>55</v>
      </c>
      <c r="AP1344" s="7" t="s">
        <v>56</v>
      </c>
      <c r="AT1344" s="47" t="s">
        <v>57</v>
      </c>
      <c r="AU1344" s="47" t="s">
        <v>57</v>
      </c>
    </row>
    <row r="1345" spans="1:47">
      <c r="A1345" s="4" t="s">
        <v>48</v>
      </c>
      <c r="C1345" s="21"/>
      <c r="D1345" s="22" t="s">
        <v>49</v>
      </c>
      <c r="G1345" s="23">
        <v>45089</v>
      </c>
      <c r="H1345" s="24" t="s">
        <v>4003</v>
      </c>
      <c r="J1345" s="28" t="s">
        <v>51</v>
      </c>
      <c r="L1345" s="24" t="s">
        <v>4004</v>
      </c>
      <c r="M1345" s="1" t="str">
        <f>"131082198507230579"</f>
        <v>131082198507230579</v>
      </c>
      <c r="N1345" s="24" t="s">
        <v>4004</v>
      </c>
      <c r="O1345" s="1" t="str">
        <f>"131082198507230579"</f>
        <v>131082198507230579</v>
      </c>
      <c r="P1345" s="23" t="s">
        <v>4005</v>
      </c>
      <c r="Q1345" s="23">
        <v>45090</v>
      </c>
      <c r="R1345" s="32">
        <v>45456</v>
      </c>
      <c r="V1345" s="33">
        <v>300</v>
      </c>
      <c r="W1345" s="28">
        <v>64.29</v>
      </c>
      <c r="X1345" s="34" t="s">
        <v>54</v>
      </c>
      <c r="Y1345" s="33">
        <v>192.87</v>
      </c>
      <c r="AC1345" s="28">
        <v>64.29</v>
      </c>
      <c r="AD1345" s="34" t="s">
        <v>54</v>
      </c>
      <c r="AE1345" s="33">
        <v>192.87</v>
      </c>
      <c r="AN1345" s="7" t="s">
        <v>54</v>
      </c>
      <c r="AO1345" s="7" t="s">
        <v>55</v>
      </c>
      <c r="AP1345" s="7" t="s">
        <v>56</v>
      </c>
      <c r="AT1345" s="47" t="s">
        <v>57</v>
      </c>
      <c r="AU1345" s="47" t="s">
        <v>57</v>
      </c>
    </row>
    <row r="1346" spans="1:47">
      <c r="A1346" s="4" t="s">
        <v>48</v>
      </c>
      <c r="C1346" s="21"/>
      <c r="D1346" s="22" t="s">
        <v>49</v>
      </c>
      <c r="G1346" s="23">
        <v>45086</v>
      </c>
      <c r="H1346" s="24" t="s">
        <v>4006</v>
      </c>
      <c r="J1346" s="28" t="s">
        <v>51</v>
      </c>
      <c r="L1346" s="24" t="s">
        <v>4007</v>
      </c>
      <c r="M1346" s="1" t="str">
        <f>"132821195910192515"</f>
        <v>132821195910192515</v>
      </c>
      <c r="N1346" s="24" t="s">
        <v>4007</v>
      </c>
      <c r="O1346" s="1" t="str">
        <f>"132821195910192515"</f>
        <v>132821195910192515</v>
      </c>
      <c r="P1346" s="23" t="s">
        <v>4008</v>
      </c>
      <c r="Q1346" s="23">
        <v>45087</v>
      </c>
      <c r="R1346" s="32">
        <v>45453</v>
      </c>
      <c r="V1346" s="33">
        <v>300</v>
      </c>
      <c r="W1346" s="28">
        <v>64.29</v>
      </c>
      <c r="X1346" s="34" t="s">
        <v>54</v>
      </c>
      <c r="Y1346" s="33">
        <v>192.87</v>
      </c>
      <c r="AC1346" s="28">
        <v>64.29</v>
      </c>
      <c r="AD1346" s="34" t="s">
        <v>54</v>
      </c>
      <c r="AE1346" s="33">
        <v>192.87</v>
      </c>
      <c r="AN1346" s="7" t="s">
        <v>54</v>
      </c>
      <c r="AO1346" s="7" t="s">
        <v>55</v>
      </c>
      <c r="AP1346" s="7" t="s">
        <v>56</v>
      </c>
      <c r="AT1346" s="47" t="s">
        <v>57</v>
      </c>
      <c r="AU1346" s="47" t="s">
        <v>57</v>
      </c>
    </row>
    <row r="1347" spans="1:47">
      <c r="A1347" s="4" t="s">
        <v>48</v>
      </c>
      <c r="C1347" s="21"/>
      <c r="D1347" s="22" t="s">
        <v>49</v>
      </c>
      <c r="G1347" s="23">
        <v>45086</v>
      </c>
      <c r="H1347" s="24" t="s">
        <v>4009</v>
      </c>
      <c r="J1347" s="28" t="s">
        <v>51</v>
      </c>
      <c r="L1347" s="24" t="s">
        <v>186</v>
      </c>
      <c r="M1347" s="1" t="str">
        <f>"13108219850105077X"</f>
        <v>13108219850105077X</v>
      </c>
      <c r="N1347" s="24" t="s">
        <v>186</v>
      </c>
      <c r="O1347" s="1" t="str">
        <f>"13108219850105077X"</f>
        <v>13108219850105077X</v>
      </c>
      <c r="P1347" s="23" t="s">
        <v>3944</v>
      </c>
      <c r="Q1347" s="23">
        <v>45087</v>
      </c>
      <c r="R1347" s="32">
        <v>45453</v>
      </c>
      <c r="V1347" s="33">
        <v>300</v>
      </c>
      <c r="W1347" s="28">
        <v>64.29</v>
      </c>
      <c r="X1347" s="34" t="s">
        <v>54</v>
      </c>
      <c r="Y1347" s="33">
        <v>192.87</v>
      </c>
      <c r="AC1347" s="28">
        <v>64.29</v>
      </c>
      <c r="AD1347" s="34" t="s">
        <v>54</v>
      </c>
      <c r="AE1347" s="33">
        <v>192.87</v>
      </c>
      <c r="AN1347" s="7" t="s">
        <v>54</v>
      </c>
      <c r="AO1347" s="7" t="s">
        <v>55</v>
      </c>
      <c r="AP1347" s="7" t="s">
        <v>56</v>
      </c>
      <c r="AT1347" s="47" t="s">
        <v>57</v>
      </c>
      <c r="AU1347" s="47" t="s">
        <v>57</v>
      </c>
    </row>
    <row r="1348" spans="1:47">
      <c r="A1348" s="4" t="s">
        <v>48</v>
      </c>
      <c r="C1348" s="21"/>
      <c r="D1348" s="22" t="s">
        <v>49</v>
      </c>
      <c r="G1348" s="23">
        <v>45091</v>
      </c>
      <c r="H1348" s="24" t="s">
        <v>4010</v>
      </c>
      <c r="J1348" s="28" t="s">
        <v>51</v>
      </c>
      <c r="L1348" s="24" t="s">
        <v>306</v>
      </c>
      <c r="M1348" s="1" t="str">
        <f>"110103195501241818"</f>
        <v>110103195501241818</v>
      </c>
      <c r="N1348" s="24" t="s">
        <v>306</v>
      </c>
      <c r="O1348" s="1" t="str">
        <f>"110103195501241818"</f>
        <v>110103195501241818</v>
      </c>
      <c r="P1348" s="23" t="s">
        <v>4002</v>
      </c>
      <c r="Q1348" s="23">
        <v>45092</v>
      </c>
      <c r="R1348" s="32">
        <v>45458</v>
      </c>
      <c r="V1348" s="33">
        <v>50</v>
      </c>
      <c r="W1348" s="28">
        <v>64.29</v>
      </c>
      <c r="X1348" s="34" t="s">
        <v>54</v>
      </c>
      <c r="Y1348" s="33">
        <v>32.15</v>
      </c>
      <c r="AC1348" s="28">
        <v>64.29</v>
      </c>
      <c r="AD1348" s="34" t="s">
        <v>54</v>
      </c>
      <c r="AE1348" s="33">
        <v>32.15</v>
      </c>
      <c r="AN1348" s="7" t="s">
        <v>54</v>
      </c>
      <c r="AO1348" s="7" t="s">
        <v>55</v>
      </c>
      <c r="AP1348" s="7" t="s">
        <v>56</v>
      </c>
      <c r="AT1348" s="47" t="s">
        <v>57</v>
      </c>
      <c r="AU1348" s="47" t="s">
        <v>57</v>
      </c>
    </row>
    <row r="1349" spans="1:47">
      <c r="A1349" s="4" t="s">
        <v>48</v>
      </c>
      <c r="C1349" s="21"/>
      <c r="D1349" s="22" t="s">
        <v>49</v>
      </c>
      <c r="G1349" s="23">
        <v>45091</v>
      </c>
      <c r="H1349" s="24" t="s">
        <v>4011</v>
      </c>
      <c r="J1349" s="28" t="s">
        <v>51</v>
      </c>
      <c r="L1349" s="24" t="s">
        <v>4012</v>
      </c>
      <c r="M1349" s="1" t="str">
        <f>"132821196603028277"</f>
        <v>132821196603028277</v>
      </c>
      <c r="N1349" s="24" t="s">
        <v>4012</v>
      </c>
      <c r="O1349" s="1" t="str">
        <f>"132821196603028277"</f>
        <v>132821196603028277</v>
      </c>
      <c r="P1349" s="23" t="s">
        <v>4013</v>
      </c>
      <c r="Q1349" s="23">
        <v>45092</v>
      </c>
      <c r="R1349" s="32">
        <v>45458</v>
      </c>
      <c r="V1349" s="33">
        <v>50</v>
      </c>
      <c r="W1349" s="28">
        <v>64.29</v>
      </c>
      <c r="X1349" s="34" t="s">
        <v>54</v>
      </c>
      <c r="Y1349" s="33">
        <v>32.15</v>
      </c>
      <c r="AC1349" s="28">
        <v>64.29</v>
      </c>
      <c r="AD1349" s="34" t="s">
        <v>54</v>
      </c>
      <c r="AE1349" s="33">
        <v>32.15</v>
      </c>
      <c r="AN1349" s="7" t="s">
        <v>54</v>
      </c>
      <c r="AO1349" s="7" t="s">
        <v>55</v>
      </c>
      <c r="AP1349" s="7" t="s">
        <v>56</v>
      </c>
      <c r="AT1349" s="47" t="s">
        <v>57</v>
      </c>
      <c r="AU1349" s="47" t="s">
        <v>57</v>
      </c>
    </row>
    <row r="1350" spans="1:47">
      <c r="A1350" s="4" t="s">
        <v>48</v>
      </c>
      <c r="C1350" s="21"/>
      <c r="D1350" s="22" t="s">
        <v>49</v>
      </c>
      <c r="G1350" s="23">
        <v>45102</v>
      </c>
      <c r="H1350" s="24" t="s">
        <v>4014</v>
      </c>
      <c r="J1350" s="28" t="s">
        <v>51</v>
      </c>
      <c r="L1350" s="24" t="s">
        <v>4015</v>
      </c>
      <c r="M1350" s="1" t="str">
        <f>"131082198208132565"</f>
        <v>131082198208132565</v>
      </c>
      <c r="N1350" s="24" t="s">
        <v>4015</v>
      </c>
      <c r="O1350" s="1" t="str">
        <f>"131082198208132565"</f>
        <v>131082198208132565</v>
      </c>
      <c r="P1350" s="23" t="s">
        <v>4016</v>
      </c>
      <c r="Q1350" s="23">
        <v>45103</v>
      </c>
      <c r="R1350" s="32">
        <v>45469</v>
      </c>
      <c r="V1350" s="33">
        <v>100</v>
      </c>
      <c r="W1350" s="28">
        <v>64.29</v>
      </c>
      <c r="X1350" s="34" t="s">
        <v>54</v>
      </c>
      <c r="Y1350" s="33">
        <v>64.29</v>
      </c>
      <c r="AC1350" s="28">
        <v>64.29</v>
      </c>
      <c r="AD1350" s="34" t="s">
        <v>54</v>
      </c>
      <c r="AE1350" s="33">
        <v>64.29</v>
      </c>
      <c r="AN1350" s="7" t="s">
        <v>54</v>
      </c>
      <c r="AO1350" s="7" t="s">
        <v>55</v>
      </c>
      <c r="AP1350" s="7" t="s">
        <v>56</v>
      </c>
      <c r="AT1350" s="47" t="s">
        <v>57</v>
      </c>
      <c r="AU1350" s="47" t="s">
        <v>57</v>
      </c>
    </row>
    <row r="1351" spans="1:47">
      <c r="A1351" s="4" t="s">
        <v>48</v>
      </c>
      <c r="C1351" s="21"/>
      <c r="D1351" s="22" t="s">
        <v>49</v>
      </c>
      <c r="G1351" s="23">
        <v>45102</v>
      </c>
      <c r="H1351" s="24" t="s">
        <v>4017</v>
      </c>
      <c r="J1351" s="28" t="s">
        <v>51</v>
      </c>
      <c r="L1351" s="24" t="s">
        <v>4018</v>
      </c>
      <c r="M1351" s="1" t="str">
        <f>"132821196302078270"</f>
        <v>132821196302078270</v>
      </c>
      <c r="N1351" s="24" t="s">
        <v>4018</v>
      </c>
      <c r="O1351" s="1" t="str">
        <f>"132821196302078270"</f>
        <v>132821196302078270</v>
      </c>
      <c r="P1351" s="23" t="s">
        <v>4019</v>
      </c>
      <c r="Q1351" s="23">
        <v>45117</v>
      </c>
      <c r="R1351" s="32">
        <v>45483</v>
      </c>
      <c r="V1351" s="33">
        <v>100</v>
      </c>
      <c r="W1351" s="28">
        <v>64.29</v>
      </c>
      <c r="X1351" s="34" t="s">
        <v>54</v>
      </c>
      <c r="Y1351" s="33">
        <v>64.29</v>
      </c>
      <c r="AC1351" s="28">
        <v>64.29</v>
      </c>
      <c r="AD1351" s="34" t="s">
        <v>54</v>
      </c>
      <c r="AE1351" s="33">
        <v>64.29</v>
      </c>
      <c r="AN1351" s="7" t="s">
        <v>54</v>
      </c>
      <c r="AO1351" s="7" t="s">
        <v>55</v>
      </c>
      <c r="AP1351" s="7" t="s">
        <v>56</v>
      </c>
      <c r="AT1351" s="47" t="s">
        <v>57</v>
      </c>
      <c r="AU1351" s="47" t="s">
        <v>57</v>
      </c>
    </row>
    <row r="1352" spans="1:47">
      <c r="A1352" s="4" t="s">
        <v>48</v>
      </c>
      <c r="C1352" s="21"/>
      <c r="D1352" s="22" t="s">
        <v>49</v>
      </c>
      <c r="G1352" s="23">
        <v>45102</v>
      </c>
      <c r="H1352" s="24" t="s">
        <v>4020</v>
      </c>
      <c r="J1352" s="28" t="s">
        <v>51</v>
      </c>
      <c r="L1352" s="24" t="s">
        <v>4021</v>
      </c>
      <c r="M1352" s="1" t="str">
        <f>"132821196208250521"</f>
        <v>132821196208250521</v>
      </c>
      <c r="N1352" s="24" t="s">
        <v>4021</v>
      </c>
      <c r="O1352" s="1" t="str">
        <f>"132821196208250521"</f>
        <v>132821196208250521</v>
      </c>
      <c r="P1352" s="23" t="s">
        <v>3944</v>
      </c>
      <c r="Q1352" s="23">
        <v>45225</v>
      </c>
      <c r="R1352" s="32">
        <v>45591</v>
      </c>
      <c r="V1352" s="33">
        <v>100</v>
      </c>
      <c r="W1352" s="28">
        <v>64.29</v>
      </c>
      <c r="X1352" s="34" t="s">
        <v>54</v>
      </c>
      <c r="Y1352" s="33">
        <v>64.29</v>
      </c>
      <c r="AC1352" s="28">
        <v>64.29</v>
      </c>
      <c r="AD1352" s="34" t="s">
        <v>54</v>
      </c>
      <c r="AE1352" s="33">
        <v>64.29</v>
      </c>
      <c r="AN1352" s="7" t="s">
        <v>54</v>
      </c>
      <c r="AO1352" s="7" t="s">
        <v>55</v>
      </c>
      <c r="AP1352" s="7" t="s">
        <v>56</v>
      </c>
      <c r="AT1352" s="47" t="s">
        <v>57</v>
      </c>
      <c r="AU1352" s="47" t="s">
        <v>57</v>
      </c>
    </row>
    <row r="1353" spans="1:47">
      <c r="A1353" s="4" t="s">
        <v>48</v>
      </c>
      <c r="C1353" s="21"/>
      <c r="D1353" s="22" t="s">
        <v>49</v>
      </c>
      <c r="G1353" s="23">
        <v>45102</v>
      </c>
      <c r="H1353" s="24" t="s">
        <v>4022</v>
      </c>
      <c r="J1353" s="28" t="s">
        <v>51</v>
      </c>
      <c r="L1353" s="24" t="s">
        <v>4023</v>
      </c>
      <c r="M1353" s="1" t="str">
        <f>"131082198808210571"</f>
        <v>131082198808210571</v>
      </c>
      <c r="N1353" s="24" t="s">
        <v>4023</v>
      </c>
      <c r="O1353" s="1" t="str">
        <f>"131082198808210571"</f>
        <v>131082198808210571</v>
      </c>
      <c r="P1353" s="23" t="s">
        <v>4024</v>
      </c>
      <c r="Q1353" s="23">
        <v>45103</v>
      </c>
      <c r="R1353" s="32">
        <v>45469</v>
      </c>
      <c r="V1353" s="33">
        <v>100</v>
      </c>
      <c r="W1353" s="28">
        <v>64.29</v>
      </c>
      <c r="X1353" s="34" t="s">
        <v>54</v>
      </c>
      <c r="Y1353" s="33">
        <v>64.29</v>
      </c>
      <c r="AC1353" s="28">
        <v>64.29</v>
      </c>
      <c r="AD1353" s="34" t="s">
        <v>54</v>
      </c>
      <c r="AE1353" s="33">
        <v>64.29</v>
      </c>
      <c r="AN1353" s="7" t="s">
        <v>54</v>
      </c>
      <c r="AO1353" s="7" t="s">
        <v>55</v>
      </c>
      <c r="AP1353" s="7" t="s">
        <v>56</v>
      </c>
      <c r="AT1353" s="47" t="s">
        <v>57</v>
      </c>
      <c r="AU1353" s="47" t="s">
        <v>57</v>
      </c>
    </row>
    <row r="1354" spans="1:47">
      <c r="A1354" s="4" t="s">
        <v>48</v>
      </c>
      <c r="C1354" s="21"/>
      <c r="D1354" s="22" t="s">
        <v>49</v>
      </c>
      <c r="G1354" s="23">
        <v>45090</v>
      </c>
      <c r="H1354" s="24" t="s">
        <v>4025</v>
      </c>
      <c r="J1354" s="28" t="s">
        <v>51</v>
      </c>
      <c r="L1354" s="24" t="s">
        <v>4026</v>
      </c>
      <c r="M1354" s="1" t="str">
        <f>"412822198711171540"</f>
        <v>412822198711171540</v>
      </c>
      <c r="N1354" s="24" t="s">
        <v>4026</v>
      </c>
      <c r="O1354" s="1" t="str">
        <f>"412822198711171540"</f>
        <v>412822198711171540</v>
      </c>
      <c r="P1354" s="23" t="s">
        <v>4027</v>
      </c>
      <c r="Q1354" s="23">
        <v>45121</v>
      </c>
      <c r="R1354" s="32">
        <v>45487</v>
      </c>
      <c r="V1354" s="33">
        <v>100</v>
      </c>
      <c r="W1354" s="28">
        <v>64.29</v>
      </c>
      <c r="X1354" s="34" t="s">
        <v>54</v>
      </c>
      <c r="Y1354" s="33">
        <v>64.29</v>
      </c>
      <c r="AC1354" s="28">
        <v>64.29</v>
      </c>
      <c r="AD1354" s="34" t="s">
        <v>54</v>
      </c>
      <c r="AE1354" s="33">
        <v>64.29</v>
      </c>
      <c r="AN1354" s="7" t="s">
        <v>54</v>
      </c>
      <c r="AO1354" s="7" t="s">
        <v>55</v>
      </c>
      <c r="AP1354" s="7" t="s">
        <v>56</v>
      </c>
      <c r="AT1354" s="47" t="s">
        <v>57</v>
      </c>
      <c r="AU1354" s="47" t="s">
        <v>57</v>
      </c>
    </row>
    <row r="1355" spans="1:47">
      <c r="A1355" s="4" t="s">
        <v>48</v>
      </c>
      <c r="C1355" s="21"/>
      <c r="D1355" s="22" t="s">
        <v>49</v>
      </c>
      <c r="G1355" s="23">
        <v>45090</v>
      </c>
      <c r="H1355" s="24" t="s">
        <v>4028</v>
      </c>
      <c r="J1355" s="28" t="s">
        <v>51</v>
      </c>
      <c r="L1355" s="24" t="s">
        <v>4029</v>
      </c>
      <c r="M1355" s="1" t="str">
        <f>"132821195805102514"</f>
        <v>132821195805102514</v>
      </c>
      <c r="N1355" s="24" t="s">
        <v>4029</v>
      </c>
      <c r="O1355" s="1" t="str">
        <f>"132821195805102514"</f>
        <v>132821195805102514</v>
      </c>
      <c r="P1355" s="23" t="s">
        <v>4030</v>
      </c>
      <c r="Q1355" s="23">
        <v>45091</v>
      </c>
      <c r="R1355" s="32">
        <v>45457</v>
      </c>
      <c r="V1355" s="33">
        <v>100</v>
      </c>
      <c r="W1355" s="28">
        <v>64.29</v>
      </c>
      <c r="X1355" s="34" t="s">
        <v>54</v>
      </c>
      <c r="Y1355" s="33">
        <v>64.29</v>
      </c>
      <c r="AC1355" s="28">
        <v>64.29</v>
      </c>
      <c r="AD1355" s="34" t="s">
        <v>54</v>
      </c>
      <c r="AE1355" s="33">
        <v>64.29</v>
      </c>
      <c r="AN1355" s="7" t="s">
        <v>54</v>
      </c>
      <c r="AO1355" s="7" t="s">
        <v>55</v>
      </c>
      <c r="AP1355" s="7" t="s">
        <v>56</v>
      </c>
      <c r="AT1355" s="47" t="s">
        <v>57</v>
      </c>
      <c r="AU1355" s="47" t="s">
        <v>57</v>
      </c>
    </row>
    <row r="1356" spans="1:47">
      <c r="A1356" s="4" t="s">
        <v>48</v>
      </c>
      <c r="C1356" s="21"/>
      <c r="D1356" s="22" t="s">
        <v>49</v>
      </c>
      <c r="G1356" s="23">
        <v>45089</v>
      </c>
      <c r="H1356" s="24" t="s">
        <v>4031</v>
      </c>
      <c r="J1356" s="28" t="s">
        <v>51</v>
      </c>
      <c r="L1356" s="24" t="s">
        <v>4032</v>
      </c>
      <c r="M1356" s="1" t="str">
        <f>"131082198401040515"</f>
        <v>131082198401040515</v>
      </c>
      <c r="N1356" s="24" t="s">
        <v>4032</v>
      </c>
      <c r="O1356" s="1" t="str">
        <f>"131082198401040515"</f>
        <v>131082198401040515</v>
      </c>
      <c r="P1356" s="23" t="s">
        <v>4033</v>
      </c>
      <c r="Q1356" s="23">
        <v>45090</v>
      </c>
      <c r="R1356" s="32">
        <v>45456</v>
      </c>
      <c r="V1356" s="33">
        <v>100</v>
      </c>
      <c r="W1356" s="28">
        <v>64.29</v>
      </c>
      <c r="X1356" s="34" t="s">
        <v>54</v>
      </c>
      <c r="Y1356" s="33">
        <v>64.29</v>
      </c>
      <c r="AC1356" s="28">
        <v>64.29</v>
      </c>
      <c r="AD1356" s="34" t="s">
        <v>54</v>
      </c>
      <c r="AE1356" s="33">
        <v>64.29</v>
      </c>
      <c r="AN1356" s="7" t="s">
        <v>54</v>
      </c>
      <c r="AO1356" s="7" t="s">
        <v>55</v>
      </c>
      <c r="AP1356" s="7" t="s">
        <v>56</v>
      </c>
      <c r="AT1356" s="47" t="s">
        <v>57</v>
      </c>
      <c r="AU1356" s="47" t="s">
        <v>57</v>
      </c>
    </row>
    <row r="1357" spans="1:47">
      <c r="A1357" s="4" t="s">
        <v>48</v>
      </c>
      <c r="C1357" s="21"/>
      <c r="D1357" s="22" t="s">
        <v>49</v>
      </c>
      <c r="G1357" s="23">
        <v>45090</v>
      </c>
      <c r="H1357" s="24" t="s">
        <v>4034</v>
      </c>
      <c r="J1357" s="28" t="s">
        <v>51</v>
      </c>
      <c r="L1357" s="24" t="s">
        <v>4035</v>
      </c>
      <c r="M1357" s="1" t="str">
        <f>"132821195006090510"</f>
        <v>132821195006090510</v>
      </c>
      <c r="N1357" s="24" t="s">
        <v>4035</v>
      </c>
      <c r="O1357" s="1" t="str">
        <f>"132821195006090510"</f>
        <v>132821195006090510</v>
      </c>
      <c r="P1357" s="23" t="s">
        <v>4036</v>
      </c>
      <c r="Q1357" s="23">
        <v>45181</v>
      </c>
      <c r="R1357" s="32">
        <v>45547</v>
      </c>
      <c r="V1357" s="33">
        <v>100</v>
      </c>
      <c r="W1357" s="28">
        <v>64.29</v>
      </c>
      <c r="X1357" s="34" t="s">
        <v>54</v>
      </c>
      <c r="Y1357" s="33">
        <v>64.29</v>
      </c>
      <c r="AC1357" s="28">
        <v>64.29</v>
      </c>
      <c r="AD1357" s="34" t="s">
        <v>54</v>
      </c>
      <c r="AE1357" s="33">
        <v>64.29</v>
      </c>
      <c r="AN1357" s="7" t="s">
        <v>54</v>
      </c>
      <c r="AO1357" s="7" t="s">
        <v>55</v>
      </c>
      <c r="AP1357" s="7" t="s">
        <v>56</v>
      </c>
      <c r="AT1357" s="47" t="s">
        <v>57</v>
      </c>
      <c r="AU1357" s="47" t="s">
        <v>57</v>
      </c>
    </row>
    <row r="1358" spans="1:47">
      <c r="A1358" s="4" t="s">
        <v>48</v>
      </c>
      <c r="C1358" s="21"/>
      <c r="D1358" s="22" t="s">
        <v>49</v>
      </c>
      <c r="G1358" s="23">
        <v>45090</v>
      </c>
      <c r="H1358" s="24" t="s">
        <v>4037</v>
      </c>
      <c r="J1358" s="28" t="s">
        <v>51</v>
      </c>
      <c r="L1358" s="24" t="s">
        <v>4038</v>
      </c>
      <c r="M1358" s="1" t="str">
        <f>"132821195410122510"</f>
        <v>132821195410122510</v>
      </c>
      <c r="N1358" s="24" t="s">
        <v>4038</v>
      </c>
      <c r="O1358" s="1" t="str">
        <f>"132821195410122510"</f>
        <v>132821195410122510</v>
      </c>
      <c r="P1358" s="23" t="s">
        <v>4039</v>
      </c>
      <c r="Q1358" s="23">
        <v>45291</v>
      </c>
      <c r="R1358" s="32">
        <v>45657</v>
      </c>
      <c r="V1358" s="33">
        <v>100</v>
      </c>
      <c r="W1358" s="28">
        <v>64.29</v>
      </c>
      <c r="X1358" s="34" t="s">
        <v>54</v>
      </c>
      <c r="Y1358" s="33">
        <v>64.29</v>
      </c>
      <c r="AC1358" s="28">
        <v>64.29</v>
      </c>
      <c r="AD1358" s="34" t="s">
        <v>54</v>
      </c>
      <c r="AE1358" s="33">
        <v>64.29</v>
      </c>
      <c r="AN1358" s="7" t="s">
        <v>54</v>
      </c>
      <c r="AO1358" s="7" t="s">
        <v>55</v>
      </c>
      <c r="AP1358" s="7" t="s">
        <v>56</v>
      </c>
      <c r="AT1358" s="47" t="s">
        <v>57</v>
      </c>
      <c r="AU1358" s="47" t="s">
        <v>57</v>
      </c>
    </row>
    <row r="1359" spans="1:47">
      <c r="A1359" s="4" t="s">
        <v>48</v>
      </c>
      <c r="C1359" s="21"/>
      <c r="D1359" s="22" t="s">
        <v>49</v>
      </c>
      <c r="G1359" s="23">
        <v>45077</v>
      </c>
      <c r="H1359" s="24" t="s">
        <v>4040</v>
      </c>
      <c r="J1359" s="28" t="s">
        <v>51</v>
      </c>
      <c r="L1359" s="24" t="s">
        <v>2128</v>
      </c>
      <c r="M1359" s="1" t="str">
        <f>"34120219880401001X"</f>
        <v>34120219880401001X</v>
      </c>
      <c r="N1359" s="24" t="s">
        <v>2128</v>
      </c>
      <c r="O1359" s="1" t="str">
        <f>"34120219880401001X"</f>
        <v>34120219880401001X</v>
      </c>
      <c r="P1359" s="23" t="s">
        <v>4041</v>
      </c>
      <c r="Q1359" s="23">
        <v>45123</v>
      </c>
      <c r="R1359" s="32">
        <v>45489</v>
      </c>
      <c r="V1359" s="33">
        <v>100</v>
      </c>
      <c r="W1359" s="28">
        <v>64.29</v>
      </c>
      <c r="X1359" s="34" t="s">
        <v>54</v>
      </c>
      <c r="Y1359" s="33">
        <v>64.29</v>
      </c>
      <c r="AC1359" s="28">
        <v>64.29</v>
      </c>
      <c r="AD1359" s="34" t="s">
        <v>54</v>
      </c>
      <c r="AE1359" s="33">
        <v>64.29</v>
      </c>
      <c r="AN1359" s="7" t="s">
        <v>54</v>
      </c>
      <c r="AO1359" s="7" t="s">
        <v>55</v>
      </c>
      <c r="AP1359" s="7" t="s">
        <v>56</v>
      </c>
      <c r="AT1359" s="47" t="s">
        <v>57</v>
      </c>
      <c r="AU1359" s="47" t="s">
        <v>57</v>
      </c>
    </row>
    <row r="1360" spans="1:47">
      <c r="A1360" s="4" t="s">
        <v>48</v>
      </c>
      <c r="C1360" s="21"/>
      <c r="D1360" s="22" t="s">
        <v>49</v>
      </c>
      <c r="G1360" s="23">
        <v>45078</v>
      </c>
      <c r="H1360" s="24" t="s">
        <v>4042</v>
      </c>
      <c r="J1360" s="28" t="s">
        <v>51</v>
      </c>
      <c r="L1360" s="24" t="s">
        <v>4043</v>
      </c>
      <c r="M1360" s="1" t="str">
        <f>"131082198204298218"</f>
        <v>131082198204298218</v>
      </c>
      <c r="N1360" s="24" t="s">
        <v>4043</v>
      </c>
      <c r="O1360" s="1" t="str">
        <f>"131082198204298218"</f>
        <v>131082198204298218</v>
      </c>
      <c r="P1360" s="23" t="s">
        <v>4044</v>
      </c>
      <c r="Q1360" s="23">
        <v>45079</v>
      </c>
      <c r="R1360" s="32">
        <v>45445</v>
      </c>
      <c r="V1360" s="33">
        <v>100</v>
      </c>
      <c r="W1360" s="28">
        <v>64.29</v>
      </c>
      <c r="X1360" s="34" t="s">
        <v>54</v>
      </c>
      <c r="Y1360" s="33">
        <v>64.29</v>
      </c>
      <c r="AC1360" s="28">
        <v>64.29</v>
      </c>
      <c r="AD1360" s="34" t="s">
        <v>54</v>
      </c>
      <c r="AE1360" s="33">
        <v>64.29</v>
      </c>
      <c r="AN1360" s="7" t="s">
        <v>54</v>
      </c>
      <c r="AO1360" s="7" t="s">
        <v>55</v>
      </c>
      <c r="AP1360" s="7" t="s">
        <v>56</v>
      </c>
      <c r="AT1360" s="47" t="s">
        <v>57</v>
      </c>
      <c r="AU1360" s="47" t="s">
        <v>57</v>
      </c>
    </row>
    <row r="1361" spans="1:47">
      <c r="A1361" s="4" t="s">
        <v>48</v>
      </c>
      <c r="C1361" s="21"/>
      <c r="D1361" s="22" t="s">
        <v>49</v>
      </c>
      <c r="G1361" s="23">
        <v>45076</v>
      </c>
      <c r="H1361" s="24" t="s">
        <v>4045</v>
      </c>
      <c r="J1361" s="28" t="s">
        <v>51</v>
      </c>
      <c r="L1361" s="24" t="s">
        <v>4046</v>
      </c>
      <c r="M1361" s="1" t="str">
        <f>"131082198005090772"</f>
        <v>131082198005090772</v>
      </c>
      <c r="N1361" s="24" t="s">
        <v>4046</v>
      </c>
      <c r="O1361" s="1" t="str">
        <f>"131082198005090772"</f>
        <v>131082198005090772</v>
      </c>
      <c r="P1361" s="23" t="s">
        <v>4047</v>
      </c>
      <c r="Q1361" s="23">
        <v>45077</v>
      </c>
      <c r="R1361" s="32">
        <v>45443</v>
      </c>
      <c r="V1361" s="33">
        <v>300</v>
      </c>
      <c r="W1361" s="28">
        <v>64.29</v>
      </c>
      <c r="X1361" s="34" t="s">
        <v>54</v>
      </c>
      <c r="Y1361" s="33">
        <v>192.87</v>
      </c>
      <c r="AC1361" s="28">
        <v>64.29</v>
      </c>
      <c r="AD1361" s="34" t="s">
        <v>54</v>
      </c>
      <c r="AE1361" s="33">
        <v>192.87</v>
      </c>
      <c r="AN1361" s="7" t="s">
        <v>54</v>
      </c>
      <c r="AO1361" s="7" t="s">
        <v>55</v>
      </c>
      <c r="AP1361" s="7" t="s">
        <v>56</v>
      </c>
      <c r="AT1361" s="47" t="s">
        <v>57</v>
      </c>
      <c r="AU1361" s="47" t="s">
        <v>57</v>
      </c>
    </row>
    <row r="1362" spans="1:47">
      <c r="A1362" s="4" t="s">
        <v>48</v>
      </c>
      <c r="C1362" s="21"/>
      <c r="D1362" s="22" t="s">
        <v>49</v>
      </c>
      <c r="G1362" s="23">
        <v>45089</v>
      </c>
      <c r="H1362" s="24" t="s">
        <v>4048</v>
      </c>
      <c r="J1362" s="28" t="s">
        <v>51</v>
      </c>
      <c r="L1362" s="24" t="s">
        <v>4049</v>
      </c>
      <c r="M1362" s="1" t="str">
        <f>"211382198301241041"</f>
        <v>211382198301241041</v>
      </c>
      <c r="N1362" s="24" t="s">
        <v>4049</v>
      </c>
      <c r="O1362" s="1" t="str">
        <f>"211382198301241041"</f>
        <v>211382198301241041</v>
      </c>
      <c r="P1362" s="23" t="s">
        <v>4050</v>
      </c>
      <c r="Q1362" s="23">
        <v>45090</v>
      </c>
      <c r="R1362" s="32">
        <v>45456</v>
      </c>
      <c r="V1362" s="33">
        <v>50</v>
      </c>
      <c r="W1362" s="28">
        <v>64.29</v>
      </c>
      <c r="X1362" s="34" t="s">
        <v>54</v>
      </c>
      <c r="Y1362" s="33">
        <v>32.15</v>
      </c>
      <c r="AC1362" s="28">
        <v>64.29</v>
      </c>
      <c r="AD1362" s="34" t="s">
        <v>54</v>
      </c>
      <c r="AE1362" s="33">
        <v>32.15</v>
      </c>
      <c r="AN1362" s="7" t="s">
        <v>54</v>
      </c>
      <c r="AO1362" s="7" t="s">
        <v>55</v>
      </c>
      <c r="AP1362" s="7" t="s">
        <v>56</v>
      </c>
      <c r="AT1362" s="47" t="s">
        <v>57</v>
      </c>
      <c r="AU1362" s="47" t="s">
        <v>57</v>
      </c>
    </row>
    <row r="1363" spans="1:47">
      <c r="A1363" s="4" t="s">
        <v>48</v>
      </c>
      <c r="C1363" s="21"/>
      <c r="D1363" s="22" t="s">
        <v>49</v>
      </c>
      <c r="G1363" s="23">
        <v>45089</v>
      </c>
      <c r="H1363" s="24" t="s">
        <v>4051</v>
      </c>
      <c r="J1363" s="28" t="s">
        <v>51</v>
      </c>
      <c r="L1363" s="24" t="s">
        <v>4052</v>
      </c>
      <c r="M1363" s="1" t="str">
        <f>"341202195909110726"</f>
        <v>341202195909110726</v>
      </c>
      <c r="N1363" s="24" t="s">
        <v>4052</v>
      </c>
      <c r="O1363" s="1" t="str">
        <f>"341202195909110726"</f>
        <v>341202195909110726</v>
      </c>
      <c r="P1363" s="23" t="s">
        <v>4053</v>
      </c>
      <c r="Q1363" s="23">
        <v>45090</v>
      </c>
      <c r="R1363" s="32">
        <v>45456</v>
      </c>
      <c r="V1363" s="33">
        <v>50</v>
      </c>
      <c r="W1363" s="28">
        <v>64.29</v>
      </c>
      <c r="X1363" s="34" t="s">
        <v>54</v>
      </c>
      <c r="Y1363" s="33">
        <v>32.15</v>
      </c>
      <c r="AC1363" s="28">
        <v>64.29</v>
      </c>
      <c r="AD1363" s="34" t="s">
        <v>54</v>
      </c>
      <c r="AE1363" s="33">
        <v>32.15</v>
      </c>
      <c r="AN1363" s="7" t="s">
        <v>54</v>
      </c>
      <c r="AO1363" s="7" t="s">
        <v>55</v>
      </c>
      <c r="AP1363" s="7" t="s">
        <v>56</v>
      </c>
      <c r="AT1363" s="47" t="s">
        <v>57</v>
      </c>
      <c r="AU1363" s="47" t="s">
        <v>57</v>
      </c>
    </row>
    <row r="1364" spans="1:47">
      <c r="A1364" s="4" t="s">
        <v>48</v>
      </c>
      <c r="C1364" s="21"/>
      <c r="D1364" s="22" t="s">
        <v>49</v>
      </c>
      <c r="G1364" s="23">
        <v>45090</v>
      </c>
      <c r="H1364" s="24" t="s">
        <v>4054</v>
      </c>
      <c r="J1364" s="28" t="s">
        <v>51</v>
      </c>
      <c r="L1364" s="24" t="s">
        <v>4055</v>
      </c>
      <c r="M1364" s="1" t="str">
        <f>"131082198204298218"</f>
        <v>131082198204298218</v>
      </c>
      <c r="N1364" s="24" t="s">
        <v>4055</v>
      </c>
      <c r="O1364" s="1" t="str">
        <f>"131082198204298218"</f>
        <v>131082198204298218</v>
      </c>
      <c r="P1364" s="23" t="s">
        <v>4044</v>
      </c>
      <c r="Q1364" s="23">
        <v>45091</v>
      </c>
      <c r="R1364" s="32">
        <v>45457</v>
      </c>
      <c r="V1364" s="33">
        <v>50</v>
      </c>
      <c r="W1364" s="28">
        <v>64.29</v>
      </c>
      <c r="X1364" s="34" t="s">
        <v>54</v>
      </c>
      <c r="Y1364" s="33">
        <v>32.15</v>
      </c>
      <c r="AC1364" s="28">
        <v>64.29</v>
      </c>
      <c r="AD1364" s="34" t="s">
        <v>54</v>
      </c>
      <c r="AE1364" s="33">
        <v>32.15</v>
      </c>
      <c r="AN1364" s="7" t="s">
        <v>54</v>
      </c>
      <c r="AO1364" s="7" t="s">
        <v>55</v>
      </c>
      <c r="AP1364" s="7" t="s">
        <v>56</v>
      </c>
      <c r="AT1364" s="47" t="s">
        <v>57</v>
      </c>
      <c r="AU1364" s="47" t="s">
        <v>57</v>
      </c>
    </row>
    <row r="1365" spans="1:47">
      <c r="A1365" s="4" t="s">
        <v>48</v>
      </c>
      <c r="C1365" s="21"/>
      <c r="D1365" s="22" t="s">
        <v>49</v>
      </c>
      <c r="G1365" s="23">
        <v>45090</v>
      </c>
      <c r="H1365" s="24" t="s">
        <v>4056</v>
      </c>
      <c r="J1365" s="28" t="s">
        <v>51</v>
      </c>
      <c r="L1365" s="24" t="s">
        <v>4057</v>
      </c>
      <c r="M1365" s="1" t="str">
        <f>"412828198509060933"</f>
        <v>412828198509060933</v>
      </c>
      <c r="N1365" s="24" t="s">
        <v>4057</v>
      </c>
      <c r="O1365" s="1" t="str">
        <f>"412828198509060933"</f>
        <v>412828198509060933</v>
      </c>
      <c r="P1365" s="23" t="s">
        <v>4058</v>
      </c>
      <c r="Q1365" s="23">
        <v>45091</v>
      </c>
      <c r="R1365" s="32">
        <v>45457</v>
      </c>
      <c r="V1365" s="33">
        <v>50</v>
      </c>
      <c r="W1365" s="28">
        <v>64.29</v>
      </c>
      <c r="X1365" s="34" t="s">
        <v>54</v>
      </c>
      <c r="Y1365" s="33">
        <v>32.15</v>
      </c>
      <c r="AC1365" s="28">
        <v>64.29</v>
      </c>
      <c r="AD1365" s="34" t="s">
        <v>54</v>
      </c>
      <c r="AE1365" s="33">
        <v>32.15</v>
      </c>
      <c r="AN1365" s="7" t="s">
        <v>54</v>
      </c>
      <c r="AO1365" s="7" t="s">
        <v>55</v>
      </c>
      <c r="AP1365" s="7" t="s">
        <v>56</v>
      </c>
      <c r="AT1365" s="47" t="s">
        <v>57</v>
      </c>
      <c r="AU1365" s="47" t="s">
        <v>57</v>
      </c>
    </row>
    <row r="1366" spans="1:47">
      <c r="A1366" s="4" t="s">
        <v>48</v>
      </c>
      <c r="C1366" s="21"/>
      <c r="D1366" s="22" t="s">
        <v>49</v>
      </c>
      <c r="G1366" s="23">
        <v>45090</v>
      </c>
      <c r="H1366" s="24" t="s">
        <v>4059</v>
      </c>
      <c r="J1366" s="28" t="s">
        <v>51</v>
      </c>
      <c r="L1366" s="24" t="s">
        <v>4060</v>
      </c>
      <c r="M1366" s="1" t="str">
        <f>"132821195703080510"</f>
        <v>132821195703080510</v>
      </c>
      <c r="N1366" s="24" t="s">
        <v>4060</v>
      </c>
      <c r="O1366" s="1" t="str">
        <f>"132821195703080510"</f>
        <v>132821195703080510</v>
      </c>
      <c r="P1366" s="23" t="s">
        <v>4061</v>
      </c>
      <c r="Q1366" s="23">
        <v>45091</v>
      </c>
      <c r="R1366" s="32">
        <v>45457</v>
      </c>
      <c r="V1366" s="33">
        <v>50</v>
      </c>
      <c r="W1366" s="28">
        <v>64.29</v>
      </c>
      <c r="X1366" s="34" t="s">
        <v>54</v>
      </c>
      <c r="Y1366" s="33">
        <v>32.15</v>
      </c>
      <c r="AC1366" s="28">
        <v>64.29</v>
      </c>
      <c r="AD1366" s="34" t="s">
        <v>54</v>
      </c>
      <c r="AE1366" s="33">
        <v>32.15</v>
      </c>
      <c r="AN1366" s="7" t="s">
        <v>54</v>
      </c>
      <c r="AO1366" s="7" t="s">
        <v>55</v>
      </c>
      <c r="AP1366" s="7" t="s">
        <v>56</v>
      </c>
      <c r="AT1366" s="47" t="s">
        <v>57</v>
      </c>
      <c r="AU1366" s="47" t="s">
        <v>57</v>
      </c>
    </row>
    <row r="1367" spans="1:47">
      <c r="A1367" s="4" t="s">
        <v>48</v>
      </c>
      <c r="C1367" s="21"/>
      <c r="D1367" s="22" t="s">
        <v>49</v>
      </c>
      <c r="G1367" s="23">
        <v>45100</v>
      </c>
      <c r="H1367" s="24" t="s">
        <v>4062</v>
      </c>
      <c r="J1367" s="28" t="s">
        <v>51</v>
      </c>
      <c r="L1367" s="24" t="s">
        <v>4063</v>
      </c>
      <c r="M1367" s="1" t="str">
        <f>"230830196706242426"</f>
        <v>230830196706242426</v>
      </c>
      <c r="N1367" s="24" t="s">
        <v>4063</v>
      </c>
      <c r="O1367" s="1" t="str">
        <f>"230830196706242426"</f>
        <v>230830196706242426</v>
      </c>
      <c r="P1367" s="23" t="s">
        <v>4064</v>
      </c>
      <c r="Q1367" s="23">
        <v>45101</v>
      </c>
      <c r="R1367" s="32">
        <v>45467</v>
      </c>
      <c r="V1367" s="33">
        <v>100</v>
      </c>
      <c r="W1367" s="28">
        <v>64.29</v>
      </c>
      <c r="X1367" s="34" t="s">
        <v>54</v>
      </c>
      <c r="Y1367" s="33">
        <v>64.29</v>
      </c>
      <c r="AC1367" s="28">
        <v>64.29</v>
      </c>
      <c r="AD1367" s="34" t="s">
        <v>54</v>
      </c>
      <c r="AE1367" s="33">
        <v>64.29</v>
      </c>
      <c r="AN1367" s="7" t="s">
        <v>54</v>
      </c>
      <c r="AO1367" s="7" t="s">
        <v>55</v>
      </c>
      <c r="AP1367" s="7" t="s">
        <v>56</v>
      </c>
      <c r="AT1367" s="47" t="s">
        <v>57</v>
      </c>
      <c r="AU1367" s="47" t="s">
        <v>57</v>
      </c>
    </row>
    <row r="1368" spans="1:47">
      <c r="A1368" s="4" t="s">
        <v>48</v>
      </c>
      <c r="C1368" s="21"/>
      <c r="D1368" s="22" t="s">
        <v>49</v>
      </c>
      <c r="G1368" s="23">
        <v>45098</v>
      </c>
      <c r="H1368" s="24" t="s">
        <v>4065</v>
      </c>
      <c r="J1368" s="28" t="s">
        <v>51</v>
      </c>
      <c r="L1368" s="24" t="s">
        <v>4066</v>
      </c>
      <c r="M1368" s="1" t="str">
        <f>"131082197305160512"</f>
        <v>131082197305160512</v>
      </c>
      <c r="N1368" s="24" t="s">
        <v>4066</v>
      </c>
      <c r="O1368" s="1" t="str">
        <f>"131082197305160512"</f>
        <v>131082197305160512</v>
      </c>
      <c r="P1368" s="23" t="s">
        <v>4067</v>
      </c>
      <c r="Q1368" s="23">
        <v>45099</v>
      </c>
      <c r="R1368" s="32">
        <v>45465</v>
      </c>
      <c r="V1368" s="33">
        <v>100</v>
      </c>
      <c r="W1368" s="28">
        <v>64.29</v>
      </c>
      <c r="X1368" s="34" t="s">
        <v>54</v>
      </c>
      <c r="Y1368" s="33">
        <v>64.29</v>
      </c>
      <c r="AC1368" s="28">
        <v>64.29</v>
      </c>
      <c r="AD1368" s="34" t="s">
        <v>54</v>
      </c>
      <c r="AE1368" s="33">
        <v>64.29</v>
      </c>
      <c r="AN1368" s="7" t="s">
        <v>54</v>
      </c>
      <c r="AO1368" s="7" t="s">
        <v>55</v>
      </c>
      <c r="AP1368" s="7" t="s">
        <v>56</v>
      </c>
      <c r="AT1368" s="47" t="s">
        <v>57</v>
      </c>
      <c r="AU1368" s="47" t="s">
        <v>57</v>
      </c>
    </row>
    <row r="1369" spans="1:47">
      <c r="A1369" s="4" t="s">
        <v>48</v>
      </c>
      <c r="C1369" s="21"/>
      <c r="D1369" s="22" t="s">
        <v>49</v>
      </c>
      <c r="G1369" s="23">
        <v>45098</v>
      </c>
      <c r="H1369" s="24" t="s">
        <v>4068</v>
      </c>
      <c r="J1369" s="28" t="s">
        <v>51</v>
      </c>
      <c r="L1369" s="24" t="s">
        <v>4069</v>
      </c>
      <c r="M1369" s="1" t="str">
        <f>"411381199401083023"</f>
        <v>411381199401083023</v>
      </c>
      <c r="N1369" s="24" t="s">
        <v>4069</v>
      </c>
      <c r="O1369" s="1" t="str">
        <f>"411381199401083023"</f>
        <v>411381199401083023</v>
      </c>
      <c r="P1369" s="23" t="s">
        <v>4070</v>
      </c>
      <c r="Q1369" s="23">
        <v>45099</v>
      </c>
      <c r="R1369" s="32">
        <v>45465</v>
      </c>
      <c r="V1369" s="33">
        <v>100</v>
      </c>
      <c r="W1369" s="28">
        <v>64.29</v>
      </c>
      <c r="X1369" s="34" t="s">
        <v>54</v>
      </c>
      <c r="Y1369" s="33">
        <v>64.29</v>
      </c>
      <c r="AC1369" s="28">
        <v>64.29</v>
      </c>
      <c r="AD1369" s="34" t="s">
        <v>54</v>
      </c>
      <c r="AE1369" s="33">
        <v>64.29</v>
      </c>
      <c r="AN1369" s="7" t="s">
        <v>54</v>
      </c>
      <c r="AO1369" s="7" t="s">
        <v>55</v>
      </c>
      <c r="AP1369" s="7" t="s">
        <v>56</v>
      </c>
      <c r="AT1369" s="47" t="s">
        <v>57</v>
      </c>
      <c r="AU1369" s="47" t="s">
        <v>57</v>
      </c>
    </row>
    <row r="1370" spans="1:47">
      <c r="A1370" s="4" t="s">
        <v>48</v>
      </c>
      <c r="C1370" s="21"/>
      <c r="D1370" s="22" t="s">
        <v>49</v>
      </c>
      <c r="G1370" s="23">
        <v>45090</v>
      </c>
      <c r="H1370" s="24" t="s">
        <v>4071</v>
      </c>
      <c r="J1370" s="28" t="s">
        <v>51</v>
      </c>
      <c r="L1370" s="24" t="s">
        <v>4072</v>
      </c>
      <c r="M1370" s="1" t="str">
        <f>"132829197803224526"</f>
        <v>132829197803224526</v>
      </c>
      <c r="N1370" s="24" t="s">
        <v>4072</v>
      </c>
      <c r="O1370" s="1" t="str">
        <f>"132829197803224526"</f>
        <v>132829197803224526</v>
      </c>
      <c r="P1370" s="23" t="s">
        <v>4073</v>
      </c>
      <c r="Q1370" s="23">
        <v>45091</v>
      </c>
      <c r="R1370" s="32">
        <v>45457</v>
      </c>
      <c r="V1370" s="33">
        <v>100</v>
      </c>
      <c r="W1370" s="28">
        <v>64.29</v>
      </c>
      <c r="X1370" s="34" t="s">
        <v>54</v>
      </c>
      <c r="Y1370" s="33">
        <v>64.29</v>
      </c>
      <c r="AC1370" s="28">
        <v>64.29</v>
      </c>
      <c r="AD1370" s="34" t="s">
        <v>54</v>
      </c>
      <c r="AE1370" s="33">
        <v>64.29</v>
      </c>
      <c r="AN1370" s="7" t="s">
        <v>54</v>
      </c>
      <c r="AO1370" s="7" t="s">
        <v>55</v>
      </c>
      <c r="AP1370" s="7" t="s">
        <v>56</v>
      </c>
      <c r="AT1370" s="47" t="s">
        <v>57</v>
      </c>
      <c r="AU1370" s="47" t="s">
        <v>57</v>
      </c>
    </row>
    <row r="1371" spans="1:47">
      <c r="A1371" s="4" t="s">
        <v>48</v>
      </c>
      <c r="C1371" s="21"/>
      <c r="D1371" s="22" t="s">
        <v>49</v>
      </c>
      <c r="G1371" s="23">
        <v>45075</v>
      </c>
      <c r="H1371" s="24" t="s">
        <v>4074</v>
      </c>
      <c r="J1371" s="28" t="s">
        <v>51</v>
      </c>
      <c r="L1371" s="24" t="s">
        <v>2545</v>
      </c>
      <c r="M1371" s="1" t="str">
        <f>"131082198412010514"</f>
        <v>131082198412010514</v>
      </c>
      <c r="N1371" s="24" t="s">
        <v>2545</v>
      </c>
      <c r="O1371" s="1" t="str">
        <f>"131082198412010514"</f>
        <v>131082198412010514</v>
      </c>
      <c r="P1371" s="23" t="s">
        <v>4075</v>
      </c>
      <c r="Q1371" s="23">
        <v>45076</v>
      </c>
      <c r="R1371" s="32">
        <v>45442</v>
      </c>
      <c r="V1371" s="33">
        <v>100</v>
      </c>
      <c r="W1371" s="28">
        <v>64.29</v>
      </c>
      <c r="X1371" s="34" t="s">
        <v>54</v>
      </c>
      <c r="Y1371" s="33">
        <v>64.29</v>
      </c>
      <c r="AC1371" s="28">
        <v>64.29</v>
      </c>
      <c r="AD1371" s="34" t="s">
        <v>54</v>
      </c>
      <c r="AE1371" s="33">
        <v>64.29</v>
      </c>
      <c r="AN1371" s="7" t="s">
        <v>54</v>
      </c>
      <c r="AO1371" s="7" t="s">
        <v>55</v>
      </c>
      <c r="AP1371" s="7" t="s">
        <v>56</v>
      </c>
      <c r="AT1371" s="47" t="s">
        <v>57</v>
      </c>
      <c r="AU1371" s="47" t="s">
        <v>57</v>
      </c>
    </row>
    <row r="1372" spans="1:47">
      <c r="A1372" s="4" t="s">
        <v>48</v>
      </c>
      <c r="C1372" s="21"/>
      <c r="D1372" s="22" t="s">
        <v>49</v>
      </c>
      <c r="G1372" s="23">
        <v>45075</v>
      </c>
      <c r="H1372" s="24" t="s">
        <v>4076</v>
      </c>
      <c r="J1372" s="28" t="s">
        <v>51</v>
      </c>
      <c r="L1372" s="24" t="s">
        <v>4077</v>
      </c>
      <c r="M1372" s="1" t="str">
        <f>"421181199702091933"</f>
        <v>421181199702091933</v>
      </c>
      <c r="N1372" s="24" t="s">
        <v>4077</v>
      </c>
      <c r="O1372" s="1" t="str">
        <f>"421181199702091933"</f>
        <v>421181199702091933</v>
      </c>
      <c r="P1372" s="23" t="s">
        <v>4078</v>
      </c>
      <c r="Q1372" s="23">
        <v>45286</v>
      </c>
      <c r="R1372" s="32">
        <v>45652</v>
      </c>
      <c r="V1372" s="33">
        <v>100</v>
      </c>
      <c r="W1372" s="28">
        <v>64.29</v>
      </c>
      <c r="X1372" s="34" t="s">
        <v>54</v>
      </c>
      <c r="Y1372" s="33">
        <v>64.29</v>
      </c>
      <c r="AC1372" s="28">
        <v>64.29</v>
      </c>
      <c r="AD1372" s="34" t="s">
        <v>54</v>
      </c>
      <c r="AE1372" s="33">
        <v>64.29</v>
      </c>
      <c r="AN1372" s="7" t="s">
        <v>54</v>
      </c>
      <c r="AO1372" s="7" t="s">
        <v>55</v>
      </c>
      <c r="AP1372" s="7" t="s">
        <v>56</v>
      </c>
      <c r="AT1372" s="47" t="s">
        <v>57</v>
      </c>
      <c r="AU1372" s="47" t="s">
        <v>57</v>
      </c>
    </row>
    <row r="1373" spans="1:47">
      <c r="A1373" s="4" t="s">
        <v>48</v>
      </c>
      <c r="C1373" s="21"/>
      <c r="D1373" s="22" t="s">
        <v>49</v>
      </c>
      <c r="G1373" s="23">
        <v>45075</v>
      </c>
      <c r="H1373" s="24" t="s">
        <v>4079</v>
      </c>
      <c r="J1373" s="28" t="s">
        <v>51</v>
      </c>
      <c r="L1373" s="24" t="s">
        <v>4080</v>
      </c>
      <c r="M1373" s="1" t="str">
        <f>"232330199102251426"</f>
        <v>232330199102251426</v>
      </c>
      <c r="N1373" s="24" t="s">
        <v>4080</v>
      </c>
      <c r="O1373" s="1" t="str">
        <f>"232330199102251426"</f>
        <v>232330199102251426</v>
      </c>
      <c r="P1373" s="23" t="s">
        <v>4081</v>
      </c>
      <c r="Q1373" s="23">
        <v>45076</v>
      </c>
      <c r="R1373" s="32">
        <v>45442</v>
      </c>
      <c r="V1373" s="33">
        <v>100</v>
      </c>
      <c r="W1373" s="28">
        <v>64.29</v>
      </c>
      <c r="X1373" s="34" t="s">
        <v>54</v>
      </c>
      <c r="Y1373" s="33">
        <v>64.29</v>
      </c>
      <c r="AC1373" s="28">
        <v>64.29</v>
      </c>
      <c r="AD1373" s="34" t="s">
        <v>54</v>
      </c>
      <c r="AE1373" s="33">
        <v>64.29</v>
      </c>
      <c r="AN1373" s="7" t="s">
        <v>54</v>
      </c>
      <c r="AO1373" s="7" t="s">
        <v>55</v>
      </c>
      <c r="AP1373" s="7" t="s">
        <v>56</v>
      </c>
      <c r="AT1373" s="47" t="s">
        <v>57</v>
      </c>
      <c r="AU1373" s="47" t="s">
        <v>57</v>
      </c>
    </row>
    <row r="1374" spans="1:47">
      <c r="A1374" s="4" t="s">
        <v>48</v>
      </c>
      <c r="C1374" s="21"/>
      <c r="D1374" s="22" t="s">
        <v>49</v>
      </c>
      <c r="G1374" s="23">
        <v>45074</v>
      </c>
      <c r="H1374" s="24" t="s">
        <v>4082</v>
      </c>
      <c r="J1374" s="28" t="s">
        <v>51</v>
      </c>
      <c r="L1374" s="24" t="s">
        <v>4083</v>
      </c>
      <c r="M1374" s="1" t="str">
        <f>"132927197405153040"</f>
        <v>132927197405153040</v>
      </c>
      <c r="N1374" s="24" t="s">
        <v>4083</v>
      </c>
      <c r="O1374" s="1" t="str">
        <f>"132927197405153040"</f>
        <v>132927197405153040</v>
      </c>
      <c r="P1374" s="23" t="s">
        <v>4084</v>
      </c>
      <c r="Q1374" s="23">
        <v>45075</v>
      </c>
      <c r="R1374" s="32">
        <v>45441</v>
      </c>
      <c r="V1374" s="33">
        <v>100</v>
      </c>
      <c r="W1374" s="28">
        <v>64.29</v>
      </c>
      <c r="X1374" s="34" t="s">
        <v>54</v>
      </c>
      <c r="Y1374" s="33">
        <v>64.29</v>
      </c>
      <c r="AC1374" s="28">
        <v>64.29</v>
      </c>
      <c r="AD1374" s="34" t="s">
        <v>54</v>
      </c>
      <c r="AE1374" s="33">
        <v>64.29</v>
      </c>
      <c r="AN1374" s="7" t="s">
        <v>54</v>
      </c>
      <c r="AO1374" s="7" t="s">
        <v>55</v>
      </c>
      <c r="AP1374" s="7" t="s">
        <v>56</v>
      </c>
      <c r="AT1374" s="47" t="s">
        <v>57</v>
      </c>
      <c r="AU1374" s="47" t="s">
        <v>57</v>
      </c>
    </row>
    <row r="1375" spans="1:47">
      <c r="A1375" s="4" t="s">
        <v>48</v>
      </c>
      <c r="C1375" s="21"/>
      <c r="D1375" s="22" t="s">
        <v>49</v>
      </c>
      <c r="G1375" s="23">
        <v>45091</v>
      </c>
      <c r="H1375" s="24" t="s">
        <v>4085</v>
      </c>
      <c r="J1375" s="28" t="s">
        <v>51</v>
      </c>
      <c r="L1375" s="24" t="s">
        <v>4086</v>
      </c>
      <c r="M1375" s="1" t="str">
        <f>"131082198412010514"</f>
        <v>131082198412010514</v>
      </c>
      <c r="N1375" s="24" t="s">
        <v>4086</v>
      </c>
      <c r="O1375" s="1" t="str">
        <f>"131082198412010514"</f>
        <v>131082198412010514</v>
      </c>
      <c r="P1375" s="23" t="s">
        <v>4075</v>
      </c>
      <c r="Q1375" s="23">
        <v>45092</v>
      </c>
      <c r="R1375" s="32">
        <v>45458</v>
      </c>
      <c r="V1375" s="33">
        <v>600</v>
      </c>
      <c r="W1375" s="28">
        <v>64.29</v>
      </c>
      <c r="X1375" s="34" t="s">
        <v>54</v>
      </c>
      <c r="Y1375" s="33">
        <v>385.74</v>
      </c>
      <c r="AC1375" s="28">
        <v>64.29</v>
      </c>
      <c r="AD1375" s="34" t="s">
        <v>54</v>
      </c>
      <c r="AE1375" s="33">
        <v>385.74</v>
      </c>
      <c r="AN1375" s="7" t="s">
        <v>54</v>
      </c>
      <c r="AO1375" s="7" t="s">
        <v>55</v>
      </c>
      <c r="AP1375" s="7" t="s">
        <v>56</v>
      </c>
      <c r="AT1375" s="47" t="s">
        <v>57</v>
      </c>
      <c r="AU1375" s="47" t="s">
        <v>57</v>
      </c>
    </row>
    <row r="1376" spans="1:47">
      <c r="A1376" s="4" t="s">
        <v>48</v>
      </c>
      <c r="C1376" s="21"/>
      <c r="D1376" s="22" t="s">
        <v>49</v>
      </c>
      <c r="G1376" s="23">
        <v>45090</v>
      </c>
      <c r="H1376" s="24" t="s">
        <v>4087</v>
      </c>
      <c r="J1376" s="28" t="s">
        <v>51</v>
      </c>
      <c r="L1376" s="24" t="s">
        <v>4088</v>
      </c>
      <c r="M1376" s="1" t="str">
        <f>"120222200005201817"</f>
        <v>120222200005201817</v>
      </c>
      <c r="N1376" s="24" t="s">
        <v>4088</v>
      </c>
      <c r="O1376" s="1" t="str">
        <f>"120222200005201817"</f>
        <v>120222200005201817</v>
      </c>
      <c r="P1376" s="23" t="s">
        <v>4089</v>
      </c>
      <c r="Q1376" s="23">
        <v>45091</v>
      </c>
      <c r="R1376" s="32">
        <v>45457</v>
      </c>
      <c r="V1376" s="33">
        <v>50</v>
      </c>
      <c r="W1376" s="28">
        <v>64.29</v>
      </c>
      <c r="X1376" s="34" t="s">
        <v>54</v>
      </c>
      <c r="Y1376" s="33">
        <v>32.15</v>
      </c>
      <c r="AC1376" s="28">
        <v>64.29</v>
      </c>
      <c r="AD1376" s="34" t="s">
        <v>54</v>
      </c>
      <c r="AE1376" s="33">
        <v>32.15</v>
      </c>
      <c r="AN1376" s="7" t="s">
        <v>54</v>
      </c>
      <c r="AO1376" s="7" t="s">
        <v>55</v>
      </c>
      <c r="AP1376" s="7" t="s">
        <v>56</v>
      </c>
      <c r="AT1376" s="47" t="s">
        <v>57</v>
      </c>
      <c r="AU1376" s="47" t="s">
        <v>57</v>
      </c>
    </row>
    <row r="1377" spans="1:47">
      <c r="A1377" s="4" t="s">
        <v>48</v>
      </c>
      <c r="C1377" s="21"/>
      <c r="D1377" s="22" t="s">
        <v>49</v>
      </c>
      <c r="G1377" s="23">
        <v>45090</v>
      </c>
      <c r="H1377" s="24" t="s">
        <v>4090</v>
      </c>
      <c r="J1377" s="28" t="s">
        <v>51</v>
      </c>
      <c r="L1377" s="24" t="s">
        <v>4091</v>
      </c>
      <c r="M1377" s="1" t="str">
        <f>"342130197410124061"</f>
        <v>342130197410124061</v>
      </c>
      <c r="N1377" s="24" t="s">
        <v>4091</v>
      </c>
      <c r="O1377" s="1" t="str">
        <f>"342130197410124061"</f>
        <v>342130197410124061</v>
      </c>
      <c r="P1377" s="23" t="s">
        <v>4092</v>
      </c>
      <c r="Q1377" s="23">
        <v>45091</v>
      </c>
      <c r="R1377" s="32">
        <v>45457</v>
      </c>
      <c r="V1377" s="33">
        <v>50</v>
      </c>
      <c r="W1377" s="28">
        <v>64.29</v>
      </c>
      <c r="X1377" s="34" t="s">
        <v>54</v>
      </c>
      <c r="Y1377" s="33">
        <v>32.15</v>
      </c>
      <c r="AC1377" s="28">
        <v>64.29</v>
      </c>
      <c r="AD1377" s="34" t="s">
        <v>54</v>
      </c>
      <c r="AE1377" s="33">
        <v>32.15</v>
      </c>
      <c r="AN1377" s="7" t="s">
        <v>54</v>
      </c>
      <c r="AO1377" s="7" t="s">
        <v>55</v>
      </c>
      <c r="AP1377" s="7" t="s">
        <v>56</v>
      </c>
      <c r="AT1377" s="47" t="s">
        <v>57</v>
      </c>
      <c r="AU1377" s="47" t="s">
        <v>57</v>
      </c>
    </row>
    <row r="1378" spans="1:47">
      <c r="A1378" s="4" t="s">
        <v>48</v>
      </c>
      <c r="C1378" s="21"/>
      <c r="D1378" s="22" t="s">
        <v>49</v>
      </c>
      <c r="G1378" s="23">
        <v>45085</v>
      </c>
      <c r="H1378" s="24" t="s">
        <v>4093</v>
      </c>
      <c r="J1378" s="28" t="s">
        <v>51</v>
      </c>
      <c r="L1378" s="24" t="s">
        <v>4094</v>
      </c>
      <c r="M1378" s="1" t="str">
        <f>"131028198802274912"</f>
        <v>131028198802274912</v>
      </c>
      <c r="N1378" s="24" t="s">
        <v>4094</v>
      </c>
      <c r="O1378" s="1" t="str">
        <f>"131028198802274912"</f>
        <v>131028198802274912</v>
      </c>
      <c r="P1378" s="23" t="s">
        <v>4095</v>
      </c>
      <c r="Q1378" s="23">
        <v>45086</v>
      </c>
      <c r="R1378" s="32">
        <v>45452</v>
      </c>
      <c r="V1378" s="33">
        <v>50</v>
      </c>
      <c r="W1378" s="28">
        <v>64.29</v>
      </c>
      <c r="X1378" s="34" t="s">
        <v>54</v>
      </c>
      <c r="Y1378" s="33">
        <v>32.15</v>
      </c>
      <c r="AC1378" s="28">
        <v>64.29</v>
      </c>
      <c r="AD1378" s="34" t="s">
        <v>54</v>
      </c>
      <c r="AE1378" s="33">
        <v>32.15</v>
      </c>
      <c r="AN1378" s="7" t="s">
        <v>54</v>
      </c>
      <c r="AO1378" s="7" t="s">
        <v>55</v>
      </c>
      <c r="AP1378" s="7" t="s">
        <v>56</v>
      </c>
      <c r="AT1378" s="47" t="s">
        <v>57</v>
      </c>
      <c r="AU1378" s="47" t="s">
        <v>57</v>
      </c>
    </row>
    <row r="1379" spans="1:47">
      <c r="A1379" s="4" t="s">
        <v>48</v>
      </c>
      <c r="C1379" s="21"/>
      <c r="D1379" s="22" t="s">
        <v>49</v>
      </c>
      <c r="G1379" s="23">
        <v>45086</v>
      </c>
      <c r="H1379" s="24" t="s">
        <v>4096</v>
      </c>
      <c r="J1379" s="28" t="s">
        <v>51</v>
      </c>
      <c r="L1379" s="24" t="s">
        <v>4097</v>
      </c>
      <c r="M1379" s="1" t="str">
        <f>"120222198603040021"</f>
        <v>120222198603040021</v>
      </c>
      <c r="N1379" s="24" t="s">
        <v>4097</v>
      </c>
      <c r="O1379" s="1" t="str">
        <f>"120222198603040021"</f>
        <v>120222198603040021</v>
      </c>
      <c r="P1379" s="23" t="s">
        <v>4098</v>
      </c>
      <c r="Q1379" s="23">
        <v>45087</v>
      </c>
      <c r="R1379" s="32">
        <v>45453</v>
      </c>
      <c r="V1379" s="33">
        <v>50</v>
      </c>
      <c r="W1379" s="28">
        <v>64.29</v>
      </c>
      <c r="X1379" s="34" t="s">
        <v>54</v>
      </c>
      <c r="Y1379" s="33">
        <v>32.15</v>
      </c>
      <c r="AC1379" s="28">
        <v>64.29</v>
      </c>
      <c r="AD1379" s="34" t="s">
        <v>54</v>
      </c>
      <c r="AE1379" s="33">
        <v>32.15</v>
      </c>
      <c r="AN1379" s="7" t="s">
        <v>54</v>
      </c>
      <c r="AO1379" s="7" t="s">
        <v>55</v>
      </c>
      <c r="AP1379" s="7" t="s">
        <v>56</v>
      </c>
      <c r="AT1379" s="47" t="s">
        <v>57</v>
      </c>
      <c r="AU1379" s="47" t="s">
        <v>57</v>
      </c>
    </row>
    <row r="1380" spans="1:47">
      <c r="A1380" s="4" t="s">
        <v>48</v>
      </c>
      <c r="C1380" s="21"/>
      <c r="D1380" s="22" t="s">
        <v>49</v>
      </c>
      <c r="G1380" s="23">
        <v>45097</v>
      </c>
      <c r="H1380" s="24" t="s">
        <v>4099</v>
      </c>
      <c r="J1380" s="28" t="s">
        <v>51</v>
      </c>
      <c r="L1380" s="24" t="s">
        <v>4100</v>
      </c>
      <c r="M1380" s="1" t="str">
        <f>"34120419950625024X"</f>
        <v>34120419950625024X</v>
      </c>
      <c r="N1380" s="24" t="s">
        <v>4100</v>
      </c>
      <c r="O1380" s="1" t="str">
        <f>"34120419950625024X"</f>
        <v>34120419950625024X</v>
      </c>
      <c r="P1380" s="23" t="s">
        <v>4101</v>
      </c>
      <c r="Q1380" s="23">
        <v>45098</v>
      </c>
      <c r="R1380" s="32">
        <v>45464</v>
      </c>
      <c r="V1380" s="33">
        <v>100</v>
      </c>
      <c r="W1380" s="28">
        <v>64.29</v>
      </c>
      <c r="X1380" s="34" t="s">
        <v>54</v>
      </c>
      <c r="Y1380" s="33">
        <v>64.29</v>
      </c>
      <c r="AC1380" s="28">
        <v>64.29</v>
      </c>
      <c r="AD1380" s="34" t="s">
        <v>54</v>
      </c>
      <c r="AE1380" s="33">
        <v>64.29</v>
      </c>
      <c r="AN1380" s="7" t="s">
        <v>54</v>
      </c>
      <c r="AO1380" s="7" t="s">
        <v>55</v>
      </c>
      <c r="AP1380" s="7" t="s">
        <v>56</v>
      </c>
      <c r="AT1380" s="47" t="s">
        <v>57</v>
      </c>
      <c r="AU1380" s="47" t="s">
        <v>57</v>
      </c>
    </row>
    <row r="1381" spans="1:47">
      <c r="A1381" s="4" t="s">
        <v>48</v>
      </c>
      <c r="C1381" s="21"/>
      <c r="D1381" s="22" t="s">
        <v>49</v>
      </c>
      <c r="G1381" s="23">
        <v>45096</v>
      </c>
      <c r="H1381" s="24" t="s">
        <v>4102</v>
      </c>
      <c r="J1381" s="28" t="s">
        <v>51</v>
      </c>
      <c r="L1381" s="24" t="s">
        <v>4103</v>
      </c>
      <c r="M1381" s="1" t="str">
        <f>"211421199404140021"</f>
        <v>211421199404140021</v>
      </c>
      <c r="N1381" s="24" t="s">
        <v>4103</v>
      </c>
      <c r="O1381" s="1" t="str">
        <f>"211421199404140021"</f>
        <v>211421199404140021</v>
      </c>
      <c r="P1381" s="23" t="s">
        <v>4104</v>
      </c>
      <c r="Q1381" s="23">
        <v>45097</v>
      </c>
      <c r="R1381" s="32">
        <v>45463</v>
      </c>
      <c r="V1381" s="33">
        <v>100</v>
      </c>
      <c r="W1381" s="28">
        <v>64.29</v>
      </c>
      <c r="X1381" s="34" t="s">
        <v>54</v>
      </c>
      <c r="Y1381" s="33">
        <v>64.29</v>
      </c>
      <c r="AC1381" s="28">
        <v>64.29</v>
      </c>
      <c r="AD1381" s="34" t="s">
        <v>54</v>
      </c>
      <c r="AE1381" s="33">
        <v>64.29</v>
      </c>
      <c r="AN1381" s="7" t="s">
        <v>54</v>
      </c>
      <c r="AO1381" s="7" t="s">
        <v>55</v>
      </c>
      <c r="AP1381" s="7" t="s">
        <v>56</v>
      </c>
      <c r="AT1381" s="47" t="s">
        <v>57</v>
      </c>
      <c r="AU1381" s="47" t="s">
        <v>57</v>
      </c>
    </row>
    <row r="1382" spans="1:47">
      <c r="A1382" s="4" t="s">
        <v>48</v>
      </c>
      <c r="C1382" s="21"/>
      <c r="D1382" s="22" t="s">
        <v>49</v>
      </c>
      <c r="G1382" s="23">
        <v>45098</v>
      </c>
      <c r="H1382" s="24" t="s">
        <v>4105</v>
      </c>
      <c r="J1382" s="28" t="s">
        <v>51</v>
      </c>
      <c r="L1382" s="24" t="s">
        <v>4106</v>
      </c>
      <c r="M1382" s="1" t="str">
        <f>"341202195504050913"</f>
        <v>341202195504050913</v>
      </c>
      <c r="N1382" s="24" t="s">
        <v>4106</v>
      </c>
      <c r="O1382" s="1" t="str">
        <f>"341202195504050913"</f>
        <v>341202195504050913</v>
      </c>
      <c r="P1382" s="23" t="s">
        <v>4107</v>
      </c>
      <c r="Q1382" s="23">
        <v>45099</v>
      </c>
      <c r="R1382" s="32">
        <v>45465</v>
      </c>
      <c r="V1382" s="33">
        <v>100</v>
      </c>
      <c r="W1382" s="28">
        <v>64.29</v>
      </c>
      <c r="X1382" s="34" t="s">
        <v>54</v>
      </c>
      <c r="Y1382" s="33">
        <v>64.29</v>
      </c>
      <c r="AC1382" s="28">
        <v>64.29</v>
      </c>
      <c r="AD1382" s="34" t="s">
        <v>54</v>
      </c>
      <c r="AE1382" s="33">
        <v>64.29</v>
      </c>
      <c r="AN1382" s="7" t="s">
        <v>54</v>
      </c>
      <c r="AO1382" s="7" t="s">
        <v>55</v>
      </c>
      <c r="AP1382" s="7" t="s">
        <v>56</v>
      </c>
      <c r="AT1382" s="47" t="s">
        <v>57</v>
      </c>
      <c r="AU1382" s="47" t="s">
        <v>57</v>
      </c>
    </row>
    <row r="1383" spans="1:47">
      <c r="A1383" s="4" t="s">
        <v>48</v>
      </c>
      <c r="C1383" s="21"/>
      <c r="D1383" s="22" t="s">
        <v>49</v>
      </c>
      <c r="G1383" s="23">
        <v>45090</v>
      </c>
      <c r="H1383" s="24" t="s">
        <v>4108</v>
      </c>
      <c r="J1383" s="28" t="s">
        <v>51</v>
      </c>
      <c r="L1383" s="24" t="s">
        <v>4109</v>
      </c>
      <c r="M1383" s="1" t="str">
        <f>"13282119541011828X"</f>
        <v>13282119541011828X</v>
      </c>
      <c r="N1383" s="24" t="s">
        <v>4109</v>
      </c>
      <c r="O1383" s="1" t="str">
        <f>"13282119541011828X"</f>
        <v>13282119541011828X</v>
      </c>
      <c r="P1383" s="23" t="s">
        <v>4110</v>
      </c>
      <c r="Q1383" s="23">
        <v>45091</v>
      </c>
      <c r="R1383" s="32">
        <v>45457</v>
      </c>
      <c r="V1383" s="33">
        <v>100</v>
      </c>
      <c r="W1383" s="28">
        <v>64.29</v>
      </c>
      <c r="X1383" s="34" t="s">
        <v>54</v>
      </c>
      <c r="Y1383" s="33">
        <v>64.29</v>
      </c>
      <c r="AC1383" s="28">
        <v>64.29</v>
      </c>
      <c r="AD1383" s="34" t="s">
        <v>54</v>
      </c>
      <c r="AE1383" s="33">
        <v>64.29</v>
      </c>
      <c r="AN1383" s="7" t="s">
        <v>54</v>
      </c>
      <c r="AO1383" s="7" t="s">
        <v>55</v>
      </c>
      <c r="AP1383" s="7" t="s">
        <v>56</v>
      </c>
      <c r="AT1383" s="47" t="s">
        <v>57</v>
      </c>
      <c r="AU1383" s="47" t="s">
        <v>57</v>
      </c>
    </row>
    <row r="1384" spans="1:47">
      <c r="A1384" s="4" t="s">
        <v>48</v>
      </c>
      <c r="C1384" s="21"/>
      <c r="D1384" s="22" t="s">
        <v>49</v>
      </c>
      <c r="G1384" s="23">
        <v>45089</v>
      </c>
      <c r="H1384" s="24" t="s">
        <v>4111</v>
      </c>
      <c r="J1384" s="28" t="s">
        <v>51</v>
      </c>
      <c r="L1384" s="24" t="s">
        <v>4112</v>
      </c>
      <c r="M1384" s="1" t="str">
        <f>"132821195701258274"</f>
        <v>132821195701258274</v>
      </c>
      <c r="N1384" s="24" t="s">
        <v>4112</v>
      </c>
      <c r="O1384" s="1" t="str">
        <f>"132821195701258274"</f>
        <v>132821195701258274</v>
      </c>
      <c r="P1384" s="23" t="s">
        <v>4113</v>
      </c>
      <c r="Q1384" s="23">
        <v>45212</v>
      </c>
      <c r="R1384" s="32">
        <v>45578</v>
      </c>
      <c r="V1384" s="33">
        <v>100</v>
      </c>
      <c r="W1384" s="28">
        <v>64.29</v>
      </c>
      <c r="X1384" s="34" t="s">
        <v>54</v>
      </c>
      <c r="Y1384" s="33">
        <v>64.29</v>
      </c>
      <c r="AC1384" s="28">
        <v>64.29</v>
      </c>
      <c r="AD1384" s="34" t="s">
        <v>54</v>
      </c>
      <c r="AE1384" s="33">
        <v>64.29</v>
      </c>
      <c r="AN1384" s="7" t="s">
        <v>54</v>
      </c>
      <c r="AO1384" s="7" t="s">
        <v>55</v>
      </c>
      <c r="AP1384" s="7" t="s">
        <v>56</v>
      </c>
      <c r="AT1384" s="47" t="s">
        <v>57</v>
      </c>
      <c r="AU1384" s="47" t="s">
        <v>57</v>
      </c>
    </row>
    <row r="1385" spans="1:47">
      <c r="A1385" s="4" t="s">
        <v>48</v>
      </c>
      <c r="C1385" s="21"/>
      <c r="D1385" s="22" t="s">
        <v>49</v>
      </c>
      <c r="G1385" s="23">
        <v>45090</v>
      </c>
      <c r="H1385" s="24" t="s">
        <v>4114</v>
      </c>
      <c r="J1385" s="28" t="s">
        <v>51</v>
      </c>
      <c r="L1385" s="24" t="s">
        <v>4115</v>
      </c>
      <c r="M1385" s="1" t="str">
        <f>"131082198510270571"</f>
        <v>131082198510270571</v>
      </c>
      <c r="N1385" s="24" t="s">
        <v>4115</v>
      </c>
      <c r="O1385" s="1" t="str">
        <f>"131082198510270571"</f>
        <v>131082198510270571</v>
      </c>
      <c r="P1385" s="23" t="s">
        <v>4116</v>
      </c>
      <c r="Q1385" s="23">
        <v>45107</v>
      </c>
      <c r="R1385" s="32">
        <v>45473</v>
      </c>
      <c r="V1385" s="33">
        <v>100</v>
      </c>
      <c r="W1385" s="28">
        <v>64.29</v>
      </c>
      <c r="X1385" s="34" t="s">
        <v>54</v>
      </c>
      <c r="Y1385" s="33">
        <v>64.29</v>
      </c>
      <c r="AC1385" s="28">
        <v>64.29</v>
      </c>
      <c r="AD1385" s="34" t="s">
        <v>54</v>
      </c>
      <c r="AE1385" s="33">
        <v>64.29</v>
      </c>
      <c r="AN1385" s="7" t="s">
        <v>54</v>
      </c>
      <c r="AO1385" s="7" t="s">
        <v>55</v>
      </c>
      <c r="AP1385" s="7" t="s">
        <v>56</v>
      </c>
      <c r="AT1385" s="47" t="s">
        <v>57</v>
      </c>
      <c r="AU1385" s="47" t="s">
        <v>57</v>
      </c>
    </row>
    <row r="1386" spans="1:47">
      <c r="A1386" s="4" t="s">
        <v>48</v>
      </c>
      <c r="C1386" s="21"/>
      <c r="D1386" s="22" t="s">
        <v>49</v>
      </c>
      <c r="G1386" s="23">
        <v>45090</v>
      </c>
      <c r="H1386" s="24" t="s">
        <v>4117</v>
      </c>
      <c r="J1386" s="28" t="s">
        <v>51</v>
      </c>
      <c r="L1386" s="24" t="s">
        <v>4118</v>
      </c>
      <c r="M1386" s="1" t="str">
        <f>"131082198604120515"</f>
        <v>131082198604120515</v>
      </c>
      <c r="N1386" s="24" t="s">
        <v>4118</v>
      </c>
      <c r="O1386" s="1" t="str">
        <f>"131082198604120515"</f>
        <v>131082198604120515</v>
      </c>
      <c r="P1386" s="23" t="s">
        <v>4119</v>
      </c>
      <c r="Q1386" s="23">
        <v>45139</v>
      </c>
      <c r="R1386" s="32">
        <v>45505</v>
      </c>
      <c r="V1386" s="33">
        <v>100</v>
      </c>
      <c r="W1386" s="28">
        <v>64.29</v>
      </c>
      <c r="X1386" s="34" t="s">
        <v>54</v>
      </c>
      <c r="Y1386" s="33">
        <v>64.29</v>
      </c>
      <c r="AC1386" s="28">
        <v>64.29</v>
      </c>
      <c r="AD1386" s="34" t="s">
        <v>54</v>
      </c>
      <c r="AE1386" s="33">
        <v>64.29</v>
      </c>
      <c r="AN1386" s="7" t="s">
        <v>54</v>
      </c>
      <c r="AO1386" s="7" t="s">
        <v>55</v>
      </c>
      <c r="AP1386" s="7" t="s">
        <v>56</v>
      </c>
      <c r="AT1386" s="47" t="s">
        <v>57</v>
      </c>
      <c r="AU1386" s="47" t="s">
        <v>57</v>
      </c>
    </row>
    <row r="1387" spans="1:47">
      <c r="A1387" s="4" t="s">
        <v>48</v>
      </c>
      <c r="C1387" s="21"/>
      <c r="D1387" s="22" t="s">
        <v>49</v>
      </c>
      <c r="G1387" s="23">
        <v>45076</v>
      </c>
      <c r="H1387" s="24" t="s">
        <v>4120</v>
      </c>
      <c r="J1387" s="28" t="s">
        <v>51</v>
      </c>
      <c r="L1387" s="24" t="s">
        <v>4121</v>
      </c>
      <c r="M1387" s="1" t="str">
        <f>"132821196007248273"</f>
        <v>132821196007248273</v>
      </c>
      <c r="N1387" s="24" t="s">
        <v>4121</v>
      </c>
      <c r="O1387" s="1" t="str">
        <f>"132821196007248273"</f>
        <v>132821196007248273</v>
      </c>
      <c r="P1387" s="23" t="s">
        <v>4122</v>
      </c>
      <c r="Q1387" s="23">
        <v>45230</v>
      </c>
      <c r="R1387" s="32">
        <v>45596</v>
      </c>
      <c r="V1387" s="33">
        <v>100</v>
      </c>
      <c r="W1387" s="28">
        <v>64.29</v>
      </c>
      <c r="X1387" s="34" t="s">
        <v>54</v>
      </c>
      <c r="Y1387" s="33">
        <v>64.29</v>
      </c>
      <c r="AC1387" s="28">
        <v>64.29</v>
      </c>
      <c r="AD1387" s="34" t="s">
        <v>54</v>
      </c>
      <c r="AE1387" s="33">
        <v>64.29</v>
      </c>
      <c r="AN1387" s="7" t="s">
        <v>54</v>
      </c>
      <c r="AO1387" s="7" t="s">
        <v>55</v>
      </c>
      <c r="AP1387" s="7" t="s">
        <v>56</v>
      </c>
      <c r="AT1387" s="47" t="s">
        <v>57</v>
      </c>
      <c r="AU1387" s="47" t="s">
        <v>57</v>
      </c>
    </row>
    <row r="1388" spans="1:47">
      <c r="A1388" s="4" t="s">
        <v>48</v>
      </c>
      <c r="C1388" s="21"/>
      <c r="D1388" s="22" t="s">
        <v>49</v>
      </c>
      <c r="G1388" s="23">
        <v>45075</v>
      </c>
      <c r="H1388" s="24" t="s">
        <v>4123</v>
      </c>
      <c r="J1388" s="28" t="s">
        <v>51</v>
      </c>
      <c r="L1388" s="24" t="s">
        <v>4124</v>
      </c>
      <c r="M1388" s="1" t="str">
        <f>"341202199408093532"</f>
        <v>341202199408093532</v>
      </c>
      <c r="N1388" s="24" t="s">
        <v>4124</v>
      </c>
      <c r="O1388" s="1" t="str">
        <f>"341202199408093532"</f>
        <v>341202199408093532</v>
      </c>
      <c r="P1388" s="23" t="s">
        <v>4125</v>
      </c>
      <c r="Q1388" s="23">
        <v>45229</v>
      </c>
      <c r="R1388" s="32">
        <v>45595</v>
      </c>
      <c r="V1388" s="33">
        <v>100</v>
      </c>
      <c r="W1388" s="28">
        <v>64.29</v>
      </c>
      <c r="X1388" s="34" t="s">
        <v>54</v>
      </c>
      <c r="Y1388" s="33">
        <v>64.29</v>
      </c>
      <c r="AC1388" s="28">
        <v>64.29</v>
      </c>
      <c r="AD1388" s="34" t="s">
        <v>54</v>
      </c>
      <c r="AE1388" s="33">
        <v>64.29</v>
      </c>
      <c r="AN1388" s="7" t="s">
        <v>54</v>
      </c>
      <c r="AO1388" s="7" t="s">
        <v>55</v>
      </c>
      <c r="AP1388" s="7" t="s">
        <v>56</v>
      </c>
      <c r="AT1388" s="47" t="s">
        <v>57</v>
      </c>
      <c r="AU1388" s="47" t="s">
        <v>57</v>
      </c>
    </row>
    <row r="1389" spans="1:47">
      <c r="A1389" s="4" t="s">
        <v>48</v>
      </c>
      <c r="C1389" s="21"/>
      <c r="D1389" s="22" t="s">
        <v>49</v>
      </c>
      <c r="G1389" s="23">
        <v>45086</v>
      </c>
      <c r="H1389" s="24" t="s">
        <v>4126</v>
      </c>
      <c r="J1389" s="28" t="s">
        <v>51</v>
      </c>
      <c r="L1389" s="24" t="s">
        <v>4127</v>
      </c>
      <c r="M1389" s="1" t="str">
        <f>"120112199409033780"</f>
        <v>120112199409033780</v>
      </c>
      <c r="N1389" s="24" t="s">
        <v>4127</v>
      </c>
      <c r="O1389" s="1" t="str">
        <f>"120112199409033780"</f>
        <v>120112199409033780</v>
      </c>
      <c r="P1389" s="23" t="s">
        <v>4128</v>
      </c>
      <c r="Q1389" s="23">
        <v>45087</v>
      </c>
      <c r="R1389" s="32">
        <v>45453</v>
      </c>
      <c r="V1389" s="33">
        <v>600</v>
      </c>
      <c r="W1389" s="28">
        <v>64.29</v>
      </c>
      <c r="X1389" s="34" t="s">
        <v>54</v>
      </c>
      <c r="Y1389" s="33">
        <v>385.74</v>
      </c>
      <c r="AC1389" s="28">
        <v>64.29</v>
      </c>
      <c r="AD1389" s="34" t="s">
        <v>54</v>
      </c>
      <c r="AE1389" s="33">
        <v>385.74</v>
      </c>
      <c r="AN1389" s="7" t="s">
        <v>54</v>
      </c>
      <c r="AO1389" s="7" t="s">
        <v>55</v>
      </c>
      <c r="AP1389" s="7" t="s">
        <v>56</v>
      </c>
      <c r="AT1389" s="47" t="s">
        <v>57</v>
      </c>
      <c r="AU1389" s="47" t="s">
        <v>57</v>
      </c>
    </row>
    <row r="1390" spans="1:47">
      <c r="A1390" s="4" t="s">
        <v>48</v>
      </c>
      <c r="C1390" s="21"/>
      <c r="D1390" s="22" t="s">
        <v>49</v>
      </c>
      <c r="G1390" s="23">
        <v>45086</v>
      </c>
      <c r="H1390" s="24" t="s">
        <v>4129</v>
      </c>
      <c r="J1390" s="28" t="s">
        <v>51</v>
      </c>
      <c r="L1390" s="24" t="s">
        <v>4130</v>
      </c>
      <c r="M1390" s="1" t="str">
        <f>"131082197508038322"</f>
        <v>131082197508038322</v>
      </c>
      <c r="N1390" s="24" t="s">
        <v>4130</v>
      </c>
      <c r="O1390" s="1" t="str">
        <f>"131082197508038322"</f>
        <v>131082197508038322</v>
      </c>
      <c r="P1390" s="23" t="s">
        <v>4131</v>
      </c>
      <c r="Q1390" s="23">
        <v>45087</v>
      </c>
      <c r="R1390" s="32">
        <v>45453</v>
      </c>
      <c r="V1390" s="33">
        <v>600</v>
      </c>
      <c r="W1390" s="28">
        <v>64.29</v>
      </c>
      <c r="X1390" s="34" t="s">
        <v>54</v>
      </c>
      <c r="Y1390" s="33">
        <v>385.74</v>
      </c>
      <c r="AC1390" s="28">
        <v>64.29</v>
      </c>
      <c r="AD1390" s="34" t="s">
        <v>54</v>
      </c>
      <c r="AE1390" s="33">
        <v>385.74</v>
      </c>
      <c r="AN1390" s="7" t="s">
        <v>54</v>
      </c>
      <c r="AO1390" s="7" t="s">
        <v>55</v>
      </c>
      <c r="AP1390" s="7" t="s">
        <v>56</v>
      </c>
      <c r="AT1390" s="47" t="s">
        <v>57</v>
      </c>
      <c r="AU1390" s="47" t="s">
        <v>57</v>
      </c>
    </row>
    <row r="1391" spans="1:47">
      <c r="A1391" s="4" t="s">
        <v>48</v>
      </c>
      <c r="C1391" s="21"/>
      <c r="D1391" s="22" t="s">
        <v>49</v>
      </c>
      <c r="G1391" s="23">
        <v>45083</v>
      </c>
      <c r="H1391" s="24" t="s">
        <v>4132</v>
      </c>
      <c r="J1391" s="28" t="s">
        <v>51</v>
      </c>
      <c r="L1391" s="24" t="s">
        <v>1314</v>
      </c>
      <c r="M1391" s="1" t="str">
        <f>"130627198204166677"</f>
        <v>130627198204166677</v>
      </c>
      <c r="N1391" s="24" t="s">
        <v>1314</v>
      </c>
      <c r="O1391" s="1" t="str">
        <f>"130627198204166677"</f>
        <v>130627198204166677</v>
      </c>
      <c r="P1391" s="23" t="s">
        <v>4133</v>
      </c>
      <c r="Q1391" s="23">
        <v>45084</v>
      </c>
      <c r="R1391" s="32">
        <v>45450</v>
      </c>
      <c r="V1391" s="33">
        <v>600</v>
      </c>
      <c r="W1391" s="28">
        <v>64.29</v>
      </c>
      <c r="X1391" s="34" t="s">
        <v>54</v>
      </c>
      <c r="Y1391" s="33">
        <v>385.74</v>
      </c>
      <c r="AC1391" s="28">
        <v>64.29</v>
      </c>
      <c r="AD1391" s="34" t="s">
        <v>54</v>
      </c>
      <c r="AE1391" s="33">
        <v>385.74</v>
      </c>
      <c r="AN1391" s="7" t="s">
        <v>54</v>
      </c>
      <c r="AO1391" s="7" t="s">
        <v>55</v>
      </c>
      <c r="AP1391" s="7" t="s">
        <v>56</v>
      </c>
      <c r="AT1391" s="47" t="s">
        <v>57</v>
      </c>
      <c r="AU1391" s="47" t="s">
        <v>57</v>
      </c>
    </row>
    <row r="1392" spans="1:47">
      <c r="A1392" s="4" t="s">
        <v>48</v>
      </c>
      <c r="C1392" s="21"/>
      <c r="D1392" s="22" t="s">
        <v>49</v>
      </c>
      <c r="G1392" s="23">
        <v>45078</v>
      </c>
      <c r="H1392" s="24" t="s">
        <v>4134</v>
      </c>
      <c r="J1392" s="28" t="s">
        <v>51</v>
      </c>
      <c r="L1392" s="24" t="s">
        <v>1935</v>
      </c>
      <c r="M1392" s="1" t="str">
        <f>"131082197609208319"</f>
        <v>131082197609208319</v>
      </c>
      <c r="N1392" s="24" t="s">
        <v>1935</v>
      </c>
      <c r="O1392" s="1" t="str">
        <f>"131082197609208319"</f>
        <v>131082197609208319</v>
      </c>
      <c r="P1392" s="23" t="s">
        <v>4135</v>
      </c>
      <c r="Q1392" s="23">
        <v>45079</v>
      </c>
      <c r="R1392" s="32">
        <v>45445</v>
      </c>
      <c r="V1392" s="33">
        <v>600</v>
      </c>
      <c r="W1392" s="28">
        <v>64.29</v>
      </c>
      <c r="X1392" s="34" t="s">
        <v>54</v>
      </c>
      <c r="Y1392" s="33">
        <v>385.74</v>
      </c>
      <c r="AC1392" s="28">
        <v>64.29</v>
      </c>
      <c r="AD1392" s="34" t="s">
        <v>54</v>
      </c>
      <c r="AE1392" s="33">
        <v>385.74</v>
      </c>
      <c r="AN1392" s="7" t="s">
        <v>54</v>
      </c>
      <c r="AO1392" s="7" t="s">
        <v>55</v>
      </c>
      <c r="AP1392" s="7" t="s">
        <v>56</v>
      </c>
      <c r="AT1392" s="47" t="s">
        <v>57</v>
      </c>
      <c r="AU1392" s="47" t="s">
        <v>57</v>
      </c>
    </row>
    <row r="1393" spans="1:47">
      <c r="A1393" s="4" t="s">
        <v>48</v>
      </c>
      <c r="C1393" s="21"/>
      <c r="D1393" s="22" t="s">
        <v>49</v>
      </c>
      <c r="G1393" s="23">
        <v>45086</v>
      </c>
      <c r="H1393" s="24" t="s">
        <v>4136</v>
      </c>
      <c r="J1393" s="28" t="s">
        <v>51</v>
      </c>
      <c r="L1393" s="24" t="s">
        <v>4137</v>
      </c>
      <c r="M1393" s="1" t="str">
        <f>"230103198001017335"</f>
        <v>230103198001017335</v>
      </c>
      <c r="N1393" s="24" t="s">
        <v>4137</v>
      </c>
      <c r="O1393" s="1" t="str">
        <f>"230103198001017335"</f>
        <v>230103198001017335</v>
      </c>
      <c r="P1393" s="23" t="s">
        <v>4138</v>
      </c>
      <c r="Q1393" s="23">
        <v>45087</v>
      </c>
      <c r="R1393" s="32">
        <v>45453</v>
      </c>
      <c r="V1393" s="33">
        <v>50</v>
      </c>
      <c r="W1393" s="28">
        <v>64.29</v>
      </c>
      <c r="X1393" s="34" t="s">
        <v>54</v>
      </c>
      <c r="Y1393" s="33">
        <v>32.15</v>
      </c>
      <c r="AC1393" s="28">
        <v>64.29</v>
      </c>
      <c r="AD1393" s="34" t="s">
        <v>54</v>
      </c>
      <c r="AE1393" s="33">
        <v>32.15</v>
      </c>
      <c r="AN1393" s="7" t="s">
        <v>54</v>
      </c>
      <c r="AO1393" s="7" t="s">
        <v>55</v>
      </c>
      <c r="AP1393" s="7" t="s">
        <v>56</v>
      </c>
      <c r="AT1393" s="47" t="s">
        <v>57</v>
      </c>
      <c r="AU1393" s="47" t="s">
        <v>57</v>
      </c>
    </row>
    <row r="1394" spans="1:47">
      <c r="A1394" s="4" t="s">
        <v>48</v>
      </c>
      <c r="C1394" s="21"/>
      <c r="D1394" s="22" t="s">
        <v>49</v>
      </c>
      <c r="G1394" s="23">
        <v>45087</v>
      </c>
      <c r="H1394" s="24" t="s">
        <v>4139</v>
      </c>
      <c r="J1394" s="28" t="s">
        <v>51</v>
      </c>
      <c r="L1394" s="24" t="s">
        <v>2635</v>
      </c>
      <c r="M1394" s="1" t="str">
        <f>"341202198302163534"</f>
        <v>341202198302163534</v>
      </c>
      <c r="N1394" s="24" t="s">
        <v>2635</v>
      </c>
      <c r="O1394" s="1" t="str">
        <f>"341202198302163534"</f>
        <v>341202198302163534</v>
      </c>
      <c r="P1394" s="23" t="s">
        <v>4140</v>
      </c>
      <c r="Q1394" s="23">
        <v>45088</v>
      </c>
      <c r="R1394" s="32">
        <v>45454</v>
      </c>
      <c r="V1394" s="33">
        <v>50</v>
      </c>
      <c r="W1394" s="28">
        <v>64.29</v>
      </c>
      <c r="X1394" s="34" t="s">
        <v>54</v>
      </c>
      <c r="Y1394" s="33">
        <v>32.15</v>
      </c>
      <c r="AC1394" s="28">
        <v>64.29</v>
      </c>
      <c r="AD1394" s="34" t="s">
        <v>54</v>
      </c>
      <c r="AE1394" s="33">
        <v>32.15</v>
      </c>
      <c r="AN1394" s="7" t="s">
        <v>54</v>
      </c>
      <c r="AO1394" s="7" t="s">
        <v>55</v>
      </c>
      <c r="AP1394" s="7" t="s">
        <v>56</v>
      </c>
      <c r="AT1394" s="47" t="s">
        <v>57</v>
      </c>
      <c r="AU1394" s="47" t="s">
        <v>57</v>
      </c>
    </row>
    <row r="1395" spans="1:47">
      <c r="A1395" s="4" t="s">
        <v>48</v>
      </c>
      <c r="C1395" s="21"/>
      <c r="D1395" s="22" t="s">
        <v>49</v>
      </c>
      <c r="G1395" s="23">
        <v>45096</v>
      </c>
      <c r="H1395" s="24" t="s">
        <v>4141</v>
      </c>
      <c r="J1395" s="28" t="s">
        <v>51</v>
      </c>
      <c r="L1395" s="24" t="s">
        <v>4142</v>
      </c>
      <c r="M1395" s="1" t="str">
        <f>"15253119910401072X"</f>
        <v>15253119910401072X</v>
      </c>
      <c r="N1395" s="24" t="s">
        <v>4142</v>
      </c>
      <c r="O1395" s="1" t="str">
        <f>"15253119910401072X"</f>
        <v>15253119910401072X</v>
      </c>
      <c r="P1395" s="23" t="s">
        <v>4143</v>
      </c>
      <c r="Q1395" s="23">
        <v>45112</v>
      </c>
      <c r="R1395" s="32">
        <v>45478</v>
      </c>
      <c r="V1395" s="33">
        <v>100</v>
      </c>
      <c r="W1395" s="28">
        <v>64.29</v>
      </c>
      <c r="X1395" s="34" t="s">
        <v>54</v>
      </c>
      <c r="Y1395" s="33">
        <v>64.29</v>
      </c>
      <c r="AC1395" s="28">
        <v>64.29</v>
      </c>
      <c r="AD1395" s="34" t="s">
        <v>54</v>
      </c>
      <c r="AE1395" s="33">
        <v>64.29</v>
      </c>
      <c r="AN1395" s="7" t="s">
        <v>54</v>
      </c>
      <c r="AO1395" s="7" t="s">
        <v>55</v>
      </c>
      <c r="AP1395" s="7" t="s">
        <v>56</v>
      </c>
      <c r="AT1395" s="47" t="s">
        <v>57</v>
      </c>
      <c r="AU1395" s="47" t="s">
        <v>57</v>
      </c>
    </row>
    <row r="1396" spans="1:47">
      <c r="A1396" s="4" t="s">
        <v>48</v>
      </c>
      <c r="C1396" s="21"/>
      <c r="D1396" s="22" t="s">
        <v>49</v>
      </c>
      <c r="G1396" s="23">
        <v>45096</v>
      </c>
      <c r="H1396" s="24" t="s">
        <v>4144</v>
      </c>
      <c r="J1396" s="28" t="s">
        <v>51</v>
      </c>
      <c r="L1396" s="24" t="s">
        <v>4145</v>
      </c>
      <c r="M1396" s="1" t="str">
        <f>"131082197808038316"</f>
        <v>131082197808038316</v>
      </c>
      <c r="N1396" s="24" t="s">
        <v>4145</v>
      </c>
      <c r="O1396" s="1" t="str">
        <f>"131082197808038316"</f>
        <v>131082197808038316</v>
      </c>
      <c r="P1396" s="23" t="s">
        <v>4146</v>
      </c>
      <c r="Q1396" s="23">
        <v>45280</v>
      </c>
      <c r="R1396" s="32">
        <v>45646</v>
      </c>
      <c r="V1396" s="33">
        <v>100</v>
      </c>
      <c r="W1396" s="28">
        <v>64.29</v>
      </c>
      <c r="X1396" s="34" t="s">
        <v>54</v>
      </c>
      <c r="Y1396" s="33">
        <v>64.29</v>
      </c>
      <c r="AC1396" s="28">
        <v>64.29</v>
      </c>
      <c r="AD1396" s="34" t="s">
        <v>54</v>
      </c>
      <c r="AE1396" s="33">
        <v>64.29</v>
      </c>
      <c r="AN1396" s="7" t="s">
        <v>54</v>
      </c>
      <c r="AO1396" s="7" t="s">
        <v>55</v>
      </c>
      <c r="AP1396" s="7" t="s">
        <v>56</v>
      </c>
      <c r="AT1396" s="47" t="s">
        <v>57</v>
      </c>
      <c r="AU1396" s="47" t="s">
        <v>57</v>
      </c>
    </row>
    <row r="1397" spans="1:47">
      <c r="A1397" s="4" t="s">
        <v>48</v>
      </c>
      <c r="C1397" s="21"/>
      <c r="D1397" s="22" t="s">
        <v>49</v>
      </c>
      <c r="G1397" s="23">
        <v>45098</v>
      </c>
      <c r="H1397" s="24" t="s">
        <v>4147</v>
      </c>
      <c r="J1397" s="28" t="s">
        <v>51</v>
      </c>
      <c r="L1397" s="24" t="s">
        <v>4148</v>
      </c>
      <c r="M1397" s="1" t="str">
        <f>"131082197808038316"</f>
        <v>131082197808038316</v>
      </c>
      <c r="N1397" s="24" t="s">
        <v>4148</v>
      </c>
      <c r="O1397" s="1" t="str">
        <f>"131082197808038316"</f>
        <v>131082197808038316</v>
      </c>
      <c r="P1397" s="23" t="s">
        <v>4146</v>
      </c>
      <c r="Q1397" s="23">
        <v>45221</v>
      </c>
      <c r="R1397" s="32">
        <v>45587</v>
      </c>
      <c r="V1397" s="33">
        <v>100</v>
      </c>
      <c r="W1397" s="28">
        <v>64.29</v>
      </c>
      <c r="X1397" s="34" t="s">
        <v>54</v>
      </c>
      <c r="Y1397" s="33">
        <v>64.29</v>
      </c>
      <c r="AC1397" s="28">
        <v>64.29</v>
      </c>
      <c r="AD1397" s="34" t="s">
        <v>54</v>
      </c>
      <c r="AE1397" s="33">
        <v>64.29</v>
      </c>
      <c r="AN1397" s="7" t="s">
        <v>54</v>
      </c>
      <c r="AO1397" s="7" t="s">
        <v>55</v>
      </c>
      <c r="AP1397" s="7" t="s">
        <v>56</v>
      </c>
      <c r="AT1397" s="47" t="s">
        <v>57</v>
      </c>
      <c r="AU1397" s="47" t="s">
        <v>57</v>
      </c>
    </row>
    <row r="1398" spans="1:47">
      <c r="A1398" s="4" t="s">
        <v>48</v>
      </c>
      <c r="C1398" s="21"/>
      <c r="D1398" s="22" t="s">
        <v>49</v>
      </c>
      <c r="G1398" s="23">
        <v>45098</v>
      </c>
      <c r="H1398" s="24" t="s">
        <v>4149</v>
      </c>
      <c r="J1398" s="28" t="s">
        <v>51</v>
      </c>
      <c r="L1398" s="24" t="s">
        <v>4150</v>
      </c>
      <c r="M1398" s="1" t="str">
        <f>"132823196304165012"</f>
        <v>132823196304165012</v>
      </c>
      <c r="N1398" s="24" t="s">
        <v>4150</v>
      </c>
      <c r="O1398" s="1" t="str">
        <f>"132823196304165012"</f>
        <v>132823196304165012</v>
      </c>
      <c r="P1398" s="23" t="s">
        <v>4151</v>
      </c>
      <c r="Q1398" s="23">
        <v>45099</v>
      </c>
      <c r="R1398" s="32">
        <v>45465</v>
      </c>
      <c r="V1398" s="33">
        <v>100</v>
      </c>
      <c r="W1398" s="28">
        <v>64.29</v>
      </c>
      <c r="X1398" s="34" t="s">
        <v>54</v>
      </c>
      <c r="Y1398" s="33">
        <v>64.29</v>
      </c>
      <c r="AC1398" s="28">
        <v>64.29</v>
      </c>
      <c r="AD1398" s="34" t="s">
        <v>54</v>
      </c>
      <c r="AE1398" s="33">
        <v>64.29</v>
      </c>
      <c r="AN1398" s="7" t="s">
        <v>54</v>
      </c>
      <c r="AO1398" s="7" t="s">
        <v>55</v>
      </c>
      <c r="AP1398" s="7" t="s">
        <v>56</v>
      </c>
      <c r="AT1398" s="47" t="s">
        <v>57</v>
      </c>
      <c r="AU1398" s="47" t="s">
        <v>57</v>
      </c>
    </row>
    <row r="1399" spans="1:47">
      <c r="A1399" s="4" t="s">
        <v>48</v>
      </c>
      <c r="C1399" s="21"/>
      <c r="D1399" s="22" t="s">
        <v>49</v>
      </c>
      <c r="G1399" s="23">
        <v>45086</v>
      </c>
      <c r="H1399" s="24" t="s">
        <v>4152</v>
      </c>
      <c r="J1399" s="28" t="s">
        <v>51</v>
      </c>
      <c r="L1399" s="24" t="s">
        <v>4153</v>
      </c>
      <c r="M1399" s="1" t="str">
        <f>"132821195111238273"</f>
        <v>132821195111238273</v>
      </c>
      <c r="N1399" s="24" t="s">
        <v>4153</v>
      </c>
      <c r="O1399" s="1" t="str">
        <f>"132821195111238273"</f>
        <v>132821195111238273</v>
      </c>
      <c r="P1399" s="23" t="s">
        <v>4146</v>
      </c>
      <c r="Q1399" s="23">
        <v>45087</v>
      </c>
      <c r="R1399" s="32">
        <v>45453</v>
      </c>
      <c r="V1399" s="33">
        <v>100</v>
      </c>
      <c r="W1399" s="28">
        <v>64.29</v>
      </c>
      <c r="X1399" s="34" t="s">
        <v>54</v>
      </c>
      <c r="Y1399" s="33">
        <v>64.29</v>
      </c>
      <c r="AC1399" s="28">
        <v>64.29</v>
      </c>
      <c r="AD1399" s="34" t="s">
        <v>54</v>
      </c>
      <c r="AE1399" s="33">
        <v>64.29</v>
      </c>
      <c r="AN1399" s="7" t="s">
        <v>54</v>
      </c>
      <c r="AO1399" s="7" t="s">
        <v>55</v>
      </c>
      <c r="AP1399" s="7" t="s">
        <v>56</v>
      </c>
      <c r="AT1399" s="47" t="s">
        <v>57</v>
      </c>
      <c r="AU1399" s="47" t="s">
        <v>57</v>
      </c>
    </row>
    <row r="1400" spans="1:47">
      <c r="A1400" s="4" t="s">
        <v>48</v>
      </c>
      <c r="C1400" s="21"/>
      <c r="D1400" s="22" t="s">
        <v>49</v>
      </c>
      <c r="G1400" s="23">
        <v>45086</v>
      </c>
      <c r="H1400" s="24" t="s">
        <v>4154</v>
      </c>
      <c r="J1400" s="28" t="s">
        <v>51</v>
      </c>
      <c r="L1400" s="24" t="s">
        <v>4155</v>
      </c>
      <c r="M1400" s="1" t="str">
        <f>"132823197708052430"</f>
        <v>132823197708052430</v>
      </c>
      <c r="N1400" s="24" t="s">
        <v>4155</v>
      </c>
      <c r="O1400" s="1" t="str">
        <f>"132823197708052430"</f>
        <v>132823197708052430</v>
      </c>
      <c r="P1400" s="23" t="s">
        <v>4156</v>
      </c>
      <c r="Q1400" s="23">
        <v>45102</v>
      </c>
      <c r="R1400" s="32">
        <v>45468</v>
      </c>
      <c r="V1400" s="33">
        <v>100</v>
      </c>
      <c r="W1400" s="28">
        <v>64.29</v>
      </c>
      <c r="X1400" s="34" t="s">
        <v>54</v>
      </c>
      <c r="Y1400" s="33">
        <v>64.29</v>
      </c>
      <c r="AC1400" s="28">
        <v>64.29</v>
      </c>
      <c r="AD1400" s="34" t="s">
        <v>54</v>
      </c>
      <c r="AE1400" s="33">
        <v>64.29</v>
      </c>
      <c r="AN1400" s="7" t="s">
        <v>54</v>
      </c>
      <c r="AO1400" s="7" t="s">
        <v>55</v>
      </c>
      <c r="AP1400" s="7" t="s">
        <v>56</v>
      </c>
      <c r="AT1400" s="47" t="s">
        <v>57</v>
      </c>
      <c r="AU1400" s="47" t="s">
        <v>57</v>
      </c>
    </row>
    <row r="1401" spans="1:47">
      <c r="A1401" s="4" t="s">
        <v>48</v>
      </c>
      <c r="C1401" s="21"/>
      <c r="D1401" s="22" t="s">
        <v>49</v>
      </c>
      <c r="G1401" s="23">
        <v>45075</v>
      </c>
      <c r="H1401" s="24" t="s">
        <v>4157</v>
      </c>
      <c r="J1401" s="28" t="s">
        <v>51</v>
      </c>
      <c r="L1401" s="24" t="s">
        <v>4158</v>
      </c>
      <c r="M1401" s="1" t="str">
        <f>"210622196308105069"</f>
        <v>210622196308105069</v>
      </c>
      <c r="N1401" s="24" t="s">
        <v>4158</v>
      </c>
      <c r="O1401" s="1" t="str">
        <f>"210622196308105069"</f>
        <v>210622196308105069</v>
      </c>
      <c r="P1401" s="23" t="s">
        <v>4159</v>
      </c>
      <c r="Q1401" s="23">
        <v>45076</v>
      </c>
      <c r="R1401" s="32">
        <v>45442</v>
      </c>
      <c r="V1401" s="33">
        <v>100</v>
      </c>
      <c r="W1401" s="28">
        <v>64.29</v>
      </c>
      <c r="X1401" s="34" t="s">
        <v>54</v>
      </c>
      <c r="Y1401" s="33">
        <v>64.29</v>
      </c>
      <c r="AC1401" s="28">
        <v>64.29</v>
      </c>
      <c r="AD1401" s="34" t="s">
        <v>54</v>
      </c>
      <c r="AE1401" s="33">
        <v>64.29</v>
      </c>
      <c r="AN1401" s="7" t="s">
        <v>54</v>
      </c>
      <c r="AO1401" s="7" t="s">
        <v>55</v>
      </c>
      <c r="AP1401" s="7" t="s">
        <v>56</v>
      </c>
      <c r="AT1401" s="47" t="s">
        <v>57</v>
      </c>
      <c r="AU1401" s="47" t="s">
        <v>57</v>
      </c>
    </row>
    <row r="1402" spans="1:47">
      <c r="A1402" s="4" t="s">
        <v>48</v>
      </c>
      <c r="C1402" s="21"/>
      <c r="D1402" s="22" t="s">
        <v>49</v>
      </c>
      <c r="G1402" s="23">
        <v>45075</v>
      </c>
      <c r="H1402" s="24" t="s">
        <v>4160</v>
      </c>
      <c r="J1402" s="28" t="s">
        <v>51</v>
      </c>
      <c r="L1402" s="24" t="s">
        <v>4161</v>
      </c>
      <c r="M1402" s="1" t="str">
        <f>"130828199111052410"</f>
        <v>130828199111052410</v>
      </c>
      <c r="N1402" s="24" t="s">
        <v>4161</v>
      </c>
      <c r="O1402" s="1" t="str">
        <f>"130828199111052410"</f>
        <v>130828199111052410</v>
      </c>
      <c r="P1402" s="23" t="s">
        <v>4162</v>
      </c>
      <c r="Q1402" s="23">
        <v>45076</v>
      </c>
      <c r="R1402" s="32">
        <v>45442</v>
      </c>
      <c r="V1402" s="33">
        <v>100</v>
      </c>
      <c r="W1402" s="28">
        <v>64.29</v>
      </c>
      <c r="X1402" s="34" t="s">
        <v>54</v>
      </c>
      <c r="Y1402" s="33">
        <v>64.29</v>
      </c>
      <c r="AC1402" s="28">
        <v>64.29</v>
      </c>
      <c r="AD1402" s="34" t="s">
        <v>54</v>
      </c>
      <c r="AE1402" s="33">
        <v>64.29</v>
      </c>
      <c r="AN1402" s="7" t="s">
        <v>54</v>
      </c>
      <c r="AO1402" s="7" t="s">
        <v>55</v>
      </c>
      <c r="AP1402" s="7" t="s">
        <v>56</v>
      </c>
      <c r="AT1402" s="47" t="s">
        <v>57</v>
      </c>
      <c r="AU1402" s="47" t="s">
        <v>57</v>
      </c>
    </row>
    <row r="1403" spans="1:47">
      <c r="A1403" s="4" t="s">
        <v>48</v>
      </c>
      <c r="C1403" s="21"/>
      <c r="D1403" s="22" t="s">
        <v>49</v>
      </c>
      <c r="G1403" s="23">
        <v>45075</v>
      </c>
      <c r="H1403" s="24" t="s">
        <v>4163</v>
      </c>
      <c r="J1403" s="28" t="s">
        <v>51</v>
      </c>
      <c r="L1403" s="24" t="s">
        <v>4164</v>
      </c>
      <c r="M1403" s="1" t="str">
        <f>"231005199301121516"</f>
        <v>231005199301121516</v>
      </c>
      <c r="N1403" s="24" t="s">
        <v>4164</v>
      </c>
      <c r="O1403" s="1" t="str">
        <f>"231005199301121516"</f>
        <v>231005199301121516</v>
      </c>
      <c r="P1403" s="23" t="s">
        <v>4165</v>
      </c>
      <c r="Q1403" s="23">
        <v>45076</v>
      </c>
      <c r="R1403" s="32">
        <v>45442</v>
      </c>
      <c r="V1403" s="33">
        <v>100</v>
      </c>
      <c r="W1403" s="28">
        <v>64.29</v>
      </c>
      <c r="X1403" s="34" t="s">
        <v>54</v>
      </c>
      <c r="Y1403" s="33">
        <v>64.29</v>
      </c>
      <c r="AC1403" s="28">
        <v>64.29</v>
      </c>
      <c r="AD1403" s="34" t="s">
        <v>54</v>
      </c>
      <c r="AE1403" s="33">
        <v>64.29</v>
      </c>
      <c r="AN1403" s="7" t="s">
        <v>54</v>
      </c>
      <c r="AO1403" s="7" t="s">
        <v>55</v>
      </c>
      <c r="AP1403" s="7" t="s">
        <v>56</v>
      </c>
      <c r="AT1403" s="47" t="s">
        <v>57</v>
      </c>
      <c r="AU1403" s="47" t="s">
        <v>57</v>
      </c>
    </row>
    <row r="1404" spans="1:47">
      <c r="A1404" s="4" t="s">
        <v>48</v>
      </c>
      <c r="C1404" s="21"/>
      <c r="D1404" s="22" t="s">
        <v>49</v>
      </c>
      <c r="G1404" s="23">
        <v>45075</v>
      </c>
      <c r="H1404" s="24" t="s">
        <v>4166</v>
      </c>
      <c r="J1404" s="28" t="s">
        <v>51</v>
      </c>
      <c r="L1404" s="24" t="s">
        <v>4167</v>
      </c>
      <c r="M1404" s="1" t="str">
        <f>"132823195803100016"</f>
        <v>132823195803100016</v>
      </c>
      <c r="N1404" s="24" t="s">
        <v>4167</v>
      </c>
      <c r="O1404" s="1" t="str">
        <f>"132823195803100016"</f>
        <v>132823195803100016</v>
      </c>
      <c r="P1404" s="23" t="s">
        <v>4168</v>
      </c>
      <c r="Q1404" s="23">
        <v>45076</v>
      </c>
      <c r="R1404" s="32">
        <v>45442</v>
      </c>
      <c r="V1404" s="33">
        <v>100</v>
      </c>
      <c r="W1404" s="28">
        <v>64.29</v>
      </c>
      <c r="X1404" s="34" t="s">
        <v>54</v>
      </c>
      <c r="Y1404" s="33">
        <v>64.29</v>
      </c>
      <c r="AC1404" s="28">
        <v>64.29</v>
      </c>
      <c r="AD1404" s="34" t="s">
        <v>54</v>
      </c>
      <c r="AE1404" s="33">
        <v>64.29</v>
      </c>
      <c r="AN1404" s="7" t="s">
        <v>54</v>
      </c>
      <c r="AO1404" s="7" t="s">
        <v>55</v>
      </c>
      <c r="AP1404" s="7" t="s">
        <v>56</v>
      </c>
      <c r="AT1404" s="47" t="s">
        <v>57</v>
      </c>
      <c r="AU1404" s="47" t="s">
        <v>57</v>
      </c>
    </row>
    <row r="1405" spans="1:47">
      <c r="A1405" s="4" t="s">
        <v>48</v>
      </c>
      <c r="C1405" s="21"/>
      <c r="D1405" s="22" t="s">
        <v>49</v>
      </c>
      <c r="G1405" s="23">
        <v>45078</v>
      </c>
      <c r="H1405" s="24" t="s">
        <v>4169</v>
      </c>
      <c r="J1405" s="28" t="s">
        <v>51</v>
      </c>
      <c r="L1405" s="24" t="s">
        <v>4170</v>
      </c>
      <c r="M1405" s="1" t="str">
        <f>"132822196910112029"</f>
        <v>132822196910112029</v>
      </c>
      <c r="N1405" s="24" t="s">
        <v>4170</v>
      </c>
      <c r="O1405" s="1" t="str">
        <f>"132822196910112029"</f>
        <v>132822196910112029</v>
      </c>
      <c r="P1405" s="23" t="s">
        <v>4171</v>
      </c>
      <c r="Q1405" s="23">
        <v>45079</v>
      </c>
      <c r="R1405" s="32">
        <v>45445</v>
      </c>
      <c r="V1405" s="33">
        <v>1000</v>
      </c>
      <c r="W1405" s="28">
        <v>64.29</v>
      </c>
      <c r="X1405" s="34" t="s">
        <v>54</v>
      </c>
      <c r="Y1405" s="33">
        <v>642.9</v>
      </c>
      <c r="AC1405" s="28">
        <v>64.29</v>
      </c>
      <c r="AD1405" s="34" t="s">
        <v>54</v>
      </c>
      <c r="AE1405" s="33">
        <v>642.9</v>
      </c>
      <c r="AN1405" s="7" t="s">
        <v>54</v>
      </c>
      <c r="AO1405" s="7" t="s">
        <v>55</v>
      </c>
      <c r="AP1405" s="7" t="s">
        <v>56</v>
      </c>
      <c r="AT1405" s="47" t="s">
        <v>57</v>
      </c>
      <c r="AU1405" s="47" t="s">
        <v>57</v>
      </c>
    </row>
    <row r="1406" spans="1:47">
      <c r="A1406" s="4" t="s">
        <v>48</v>
      </c>
      <c r="C1406" s="21"/>
      <c r="D1406" s="22" t="s">
        <v>49</v>
      </c>
      <c r="G1406" s="23">
        <v>45085</v>
      </c>
      <c r="H1406" s="24" t="s">
        <v>4172</v>
      </c>
      <c r="J1406" s="28" t="s">
        <v>51</v>
      </c>
      <c r="L1406" s="24" t="s">
        <v>4173</v>
      </c>
      <c r="M1406" s="1" t="str">
        <f>"131024198312257225"</f>
        <v>131024198312257225</v>
      </c>
      <c r="N1406" s="24" t="s">
        <v>4173</v>
      </c>
      <c r="O1406" s="1" t="str">
        <f>"131024198312257225"</f>
        <v>131024198312257225</v>
      </c>
      <c r="P1406" s="23" t="s">
        <v>4174</v>
      </c>
      <c r="Q1406" s="23">
        <v>45086</v>
      </c>
      <c r="R1406" s="32">
        <v>45452</v>
      </c>
      <c r="V1406" s="33">
        <v>50</v>
      </c>
      <c r="W1406" s="28">
        <v>64.29</v>
      </c>
      <c r="X1406" s="34" t="s">
        <v>54</v>
      </c>
      <c r="Y1406" s="33">
        <v>32.15</v>
      </c>
      <c r="AC1406" s="28">
        <v>64.29</v>
      </c>
      <c r="AD1406" s="34" t="s">
        <v>54</v>
      </c>
      <c r="AE1406" s="33">
        <v>32.15</v>
      </c>
      <c r="AN1406" s="7" t="s">
        <v>54</v>
      </c>
      <c r="AO1406" s="7" t="s">
        <v>55</v>
      </c>
      <c r="AP1406" s="7" t="s">
        <v>56</v>
      </c>
      <c r="AT1406" s="47" t="s">
        <v>57</v>
      </c>
      <c r="AU1406" s="47" t="s">
        <v>57</v>
      </c>
    </row>
    <row r="1407" spans="1:47">
      <c r="A1407" s="4" t="s">
        <v>48</v>
      </c>
      <c r="C1407" s="21"/>
      <c r="D1407" s="22" t="s">
        <v>49</v>
      </c>
      <c r="G1407" s="23">
        <v>45087</v>
      </c>
      <c r="H1407" s="24" t="s">
        <v>4175</v>
      </c>
      <c r="J1407" s="28" t="s">
        <v>51</v>
      </c>
      <c r="L1407" s="24" t="s">
        <v>4176</v>
      </c>
      <c r="M1407" s="1" t="str">
        <f>"131024198511166369"</f>
        <v>131024198511166369</v>
      </c>
      <c r="N1407" s="24" t="s">
        <v>4176</v>
      </c>
      <c r="O1407" s="1" t="str">
        <f>"131024198511166369"</f>
        <v>131024198511166369</v>
      </c>
      <c r="P1407" s="23" t="s">
        <v>4177</v>
      </c>
      <c r="Q1407" s="23">
        <v>45088</v>
      </c>
      <c r="R1407" s="32">
        <v>45454</v>
      </c>
      <c r="V1407" s="33">
        <v>50</v>
      </c>
      <c r="W1407" s="28">
        <v>64.29</v>
      </c>
      <c r="X1407" s="34" t="s">
        <v>54</v>
      </c>
      <c r="Y1407" s="33">
        <v>32.15</v>
      </c>
      <c r="AC1407" s="28">
        <v>64.29</v>
      </c>
      <c r="AD1407" s="34" t="s">
        <v>54</v>
      </c>
      <c r="AE1407" s="33">
        <v>32.15</v>
      </c>
      <c r="AN1407" s="7" t="s">
        <v>54</v>
      </c>
      <c r="AO1407" s="7" t="s">
        <v>55</v>
      </c>
      <c r="AP1407" s="7" t="s">
        <v>56</v>
      </c>
      <c r="AT1407" s="47" t="s">
        <v>57</v>
      </c>
      <c r="AU1407" s="47" t="s">
        <v>57</v>
      </c>
    </row>
    <row r="1408" spans="1:47">
      <c r="A1408" s="4" t="s">
        <v>48</v>
      </c>
      <c r="C1408" s="21"/>
      <c r="D1408" s="22" t="s">
        <v>49</v>
      </c>
      <c r="G1408" s="23">
        <v>45085</v>
      </c>
      <c r="H1408" s="24" t="s">
        <v>4178</v>
      </c>
      <c r="J1408" s="28" t="s">
        <v>51</v>
      </c>
      <c r="L1408" s="24" t="s">
        <v>4179</v>
      </c>
      <c r="M1408" s="1" t="str">
        <f>"131024198512103917"</f>
        <v>131024198512103917</v>
      </c>
      <c r="N1408" s="24" t="s">
        <v>4179</v>
      </c>
      <c r="O1408" s="1" t="str">
        <f>"131024198512103917"</f>
        <v>131024198512103917</v>
      </c>
      <c r="P1408" s="23" t="s">
        <v>4180</v>
      </c>
      <c r="Q1408" s="23">
        <v>45086</v>
      </c>
      <c r="R1408" s="32">
        <v>45452</v>
      </c>
      <c r="V1408" s="33">
        <v>50</v>
      </c>
      <c r="W1408" s="28">
        <v>64.29</v>
      </c>
      <c r="X1408" s="34" t="s">
        <v>54</v>
      </c>
      <c r="Y1408" s="33">
        <v>32.15</v>
      </c>
      <c r="AC1408" s="28">
        <v>64.29</v>
      </c>
      <c r="AD1408" s="34" t="s">
        <v>54</v>
      </c>
      <c r="AE1408" s="33">
        <v>32.15</v>
      </c>
      <c r="AN1408" s="7" t="s">
        <v>54</v>
      </c>
      <c r="AO1408" s="7" t="s">
        <v>55</v>
      </c>
      <c r="AP1408" s="7" t="s">
        <v>56</v>
      </c>
      <c r="AT1408" s="47" t="s">
        <v>57</v>
      </c>
      <c r="AU1408" s="47" t="s">
        <v>57</v>
      </c>
    </row>
    <row r="1409" spans="1:47">
      <c r="A1409" s="4" t="s">
        <v>48</v>
      </c>
      <c r="C1409" s="21"/>
      <c r="D1409" s="22" t="s">
        <v>49</v>
      </c>
      <c r="G1409" s="23">
        <v>45086</v>
      </c>
      <c r="H1409" s="24" t="s">
        <v>4181</v>
      </c>
      <c r="J1409" s="28" t="s">
        <v>51</v>
      </c>
      <c r="L1409" s="24" t="s">
        <v>4182</v>
      </c>
      <c r="M1409" s="1" t="str">
        <f>"131082198808210555"</f>
        <v>131082198808210555</v>
      </c>
      <c r="N1409" s="24" t="s">
        <v>4182</v>
      </c>
      <c r="O1409" s="1" t="str">
        <f>"131082198808210555"</f>
        <v>131082198808210555</v>
      </c>
      <c r="P1409" s="23" t="s">
        <v>4183</v>
      </c>
      <c r="Q1409" s="23">
        <v>45087</v>
      </c>
      <c r="R1409" s="32">
        <v>45453</v>
      </c>
      <c r="V1409" s="33">
        <v>50</v>
      </c>
      <c r="W1409" s="28">
        <v>64.29</v>
      </c>
      <c r="X1409" s="34" t="s">
        <v>54</v>
      </c>
      <c r="Y1409" s="33">
        <v>32.15</v>
      </c>
      <c r="AC1409" s="28">
        <v>64.29</v>
      </c>
      <c r="AD1409" s="34" t="s">
        <v>54</v>
      </c>
      <c r="AE1409" s="33">
        <v>32.15</v>
      </c>
      <c r="AN1409" s="7" t="s">
        <v>54</v>
      </c>
      <c r="AO1409" s="7" t="s">
        <v>55</v>
      </c>
      <c r="AP1409" s="7" t="s">
        <v>56</v>
      </c>
      <c r="AT1409" s="47" t="s">
        <v>57</v>
      </c>
      <c r="AU1409" s="47" t="s">
        <v>57</v>
      </c>
    </row>
    <row r="1410" spans="1:47">
      <c r="A1410" s="4" t="s">
        <v>48</v>
      </c>
      <c r="C1410" s="21"/>
      <c r="D1410" s="22" t="s">
        <v>49</v>
      </c>
      <c r="G1410" s="23">
        <v>45086</v>
      </c>
      <c r="H1410" s="24" t="s">
        <v>4184</v>
      </c>
      <c r="J1410" s="28" t="s">
        <v>51</v>
      </c>
      <c r="L1410" s="24" t="s">
        <v>4185</v>
      </c>
      <c r="M1410" s="1" t="str">
        <f>"132823197504060041"</f>
        <v>132823197504060041</v>
      </c>
      <c r="N1410" s="24" t="s">
        <v>4185</v>
      </c>
      <c r="O1410" s="1" t="str">
        <f>"132823197504060041"</f>
        <v>132823197504060041</v>
      </c>
      <c r="P1410" s="23" t="s">
        <v>4186</v>
      </c>
      <c r="Q1410" s="23">
        <v>45087</v>
      </c>
      <c r="R1410" s="32">
        <v>45453</v>
      </c>
      <c r="V1410" s="33">
        <v>50</v>
      </c>
      <c r="W1410" s="28">
        <v>64.29</v>
      </c>
      <c r="X1410" s="34" t="s">
        <v>54</v>
      </c>
      <c r="Y1410" s="33">
        <v>32.15</v>
      </c>
      <c r="AC1410" s="28">
        <v>64.29</v>
      </c>
      <c r="AD1410" s="34" t="s">
        <v>54</v>
      </c>
      <c r="AE1410" s="33">
        <v>32.15</v>
      </c>
      <c r="AN1410" s="7" t="s">
        <v>54</v>
      </c>
      <c r="AO1410" s="7" t="s">
        <v>55</v>
      </c>
      <c r="AP1410" s="7" t="s">
        <v>56</v>
      </c>
      <c r="AT1410" s="47" t="s">
        <v>57</v>
      </c>
      <c r="AU1410" s="47" t="s">
        <v>57</v>
      </c>
    </row>
    <row r="1411" spans="1:47">
      <c r="A1411" s="4" t="s">
        <v>48</v>
      </c>
      <c r="C1411" s="21"/>
      <c r="D1411" s="22" t="s">
        <v>49</v>
      </c>
      <c r="G1411" s="23">
        <v>45085</v>
      </c>
      <c r="H1411" s="24" t="s">
        <v>4187</v>
      </c>
      <c r="J1411" s="28" t="s">
        <v>51</v>
      </c>
      <c r="L1411" s="24" t="s">
        <v>1782</v>
      </c>
      <c r="M1411" s="1" t="str">
        <f>"110108194812044720"</f>
        <v>110108194812044720</v>
      </c>
      <c r="N1411" s="24" t="s">
        <v>1782</v>
      </c>
      <c r="O1411" s="1" t="str">
        <f>"110108194812044720"</f>
        <v>110108194812044720</v>
      </c>
      <c r="P1411" s="23" t="s">
        <v>4188</v>
      </c>
      <c r="Q1411" s="23">
        <v>45086</v>
      </c>
      <c r="R1411" s="32">
        <v>45452</v>
      </c>
      <c r="V1411" s="33">
        <v>50</v>
      </c>
      <c r="W1411" s="28">
        <v>64.29</v>
      </c>
      <c r="X1411" s="34" t="s">
        <v>54</v>
      </c>
      <c r="Y1411" s="33">
        <v>32.15</v>
      </c>
      <c r="AC1411" s="28">
        <v>64.29</v>
      </c>
      <c r="AD1411" s="34" t="s">
        <v>54</v>
      </c>
      <c r="AE1411" s="33">
        <v>32.15</v>
      </c>
      <c r="AN1411" s="7" t="s">
        <v>54</v>
      </c>
      <c r="AO1411" s="7" t="s">
        <v>55</v>
      </c>
      <c r="AP1411" s="7" t="s">
        <v>56</v>
      </c>
      <c r="AT1411" s="47" t="s">
        <v>57</v>
      </c>
      <c r="AU1411" s="47" t="s">
        <v>57</v>
      </c>
    </row>
    <row r="1412" spans="1:47">
      <c r="A1412" s="4" t="s">
        <v>48</v>
      </c>
      <c r="C1412" s="21"/>
      <c r="D1412" s="22" t="s">
        <v>49</v>
      </c>
      <c r="G1412" s="23">
        <v>45096</v>
      </c>
      <c r="H1412" s="24" t="s">
        <v>4189</v>
      </c>
      <c r="J1412" s="28" t="s">
        <v>51</v>
      </c>
      <c r="L1412" s="24" t="s">
        <v>4190</v>
      </c>
      <c r="M1412" s="1" t="str">
        <f>"131024199610033910"</f>
        <v>131024199610033910</v>
      </c>
      <c r="N1412" s="24" t="s">
        <v>4190</v>
      </c>
      <c r="O1412" s="1" t="str">
        <f>"131024199610033910"</f>
        <v>131024199610033910</v>
      </c>
      <c r="P1412" s="23" t="s">
        <v>4191</v>
      </c>
      <c r="Q1412" s="23">
        <v>45108</v>
      </c>
      <c r="R1412" s="32">
        <v>45474</v>
      </c>
      <c r="V1412" s="33">
        <v>100</v>
      </c>
      <c r="W1412" s="28">
        <v>64.29</v>
      </c>
      <c r="X1412" s="34" t="s">
        <v>54</v>
      </c>
      <c r="Y1412" s="33">
        <v>64.29</v>
      </c>
      <c r="AC1412" s="28">
        <v>64.29</v>
      </c>
      <c r="AD1412" s="34" t="s">
        <v>54</v>
      </c>
      <c r="AE1412" s="33">
        <v>64.29</v>
      </c>
      <c r="AN1412" s="7" t="s">
        <v>54</v>
      </c>
      <c r="AO1412" s="7" t="s">
        <v>55</v>
      </c>
      <c r="AP1412" s="7" t="s">
        <v>56</v>
      </c>
      <c r="AT1412" s="47" t="s">
        <v>57</v>
      </c>
      <c r="AU1412" s="47" t="s">
        <v>57</v>
      </c>
    </row>
    <row r="1413" spans="1:47">
      <c r="A1413" s="4" t="s">
        <v>48</v>
      </c>
      <c r="C1413" s="21"/>
      <c r="D1413" s="22" t="s">
        <v>49</v>
      </c>
      <c r="G1413" s="23">
        <v>45097</v>
      </c>
      <c r="H1413" s="24" t="s">
        <v>4192</v>
      </c>
      <c r="J1413" s="28" t="s">
        <v>51</v>
      </c>
      <c r="L1413" s="24" t="s">
        <v>4193</v>
      </c>
      <c r="M1413" s="1" t="str">
        <f>"132821194911038275"</f>
        <v>132821194911038275</v>
      </c>
      <c r="N1413" s="24" t="s">
        <v>4193</v>
      </c>
      <c r="O1413" s="1" t="str">
        <f>"132821194911038275"</f>
        <v>132821194911038275</v>
      </c>
      <c r="P1413" s="23" t="s">
        <v>4194</v>
      </c>
      <c r="Q1413" s="23">
        <v>45159</v>
      </c>
      <c r="R1413" s="32">
        <v>45525</v>
      </c>
      <c r="V1413" s="33">
        <v>100</v>
      </c>
      <c r="W1413" s="28">
        <v>64.29</v>
      </c>
      <c r="X1413" s="34" t="s">
        <v>54</v>
      </c>
      <c r="Y1413" s="33">
        <v>64.29</v>
      </c>
      <c r="AC1413" s="28">
        <v>64.29</v>
      </c>
      <c r="AD1413" s="34" t="s">
        <v>54</v>
      </c>
      <c r="AE1413" s="33">
        <v>64.29</v>
      </c>
      <c r="AN1413" s="7" t="s">
        <v>54</v>
      </c>
      <c r="AO1413" s="7" t="s">
        <v>55</v>
      </c>
      <c r="AP1413" s="7" t="s">
        <v>56</v>
      </c>
      <c r="AT1413" s="47" t="s">
        <v>57</v>
      </c>
      <c r="AU1413" s="47" t="s">
        <v>57</v>
      </c>
    </row>
    <row r="1414" spans="1:47">
      <c r="A1414" s="4" t="s">
        <v>48</v>
      </c>
      <c r="C1414" s="21"/>
      <c r="D1414" s="22" t="s">
        <v>49</v>
      </c>
      <c r="G1414" s="23">
        <v>45097</v>
      </c>
      <c r="H1414" s="24" t="s">
        <v>4195</v>
      </c>
      <c r="J1414" s="28" t="s">
        <v>51</v>
      </c>
      <c r="L1414" s="24" t="s">
        <v>4196</v>
      </c>
      <c r="M1414" s="1" t="str">
        <f>"230231197102101823"</f>
        <v>230231197102101823</v>
      </c>
      <c r="N1414" s="24" t="s">
        <v>4196</v>
      </c>
      <c r="O1414" s="1" t="str">
        <f>"230231197102101823"</f>
        <v>230231197102101823</v>
      </c>
      <c r="P1414" s="23" t="s">
        <v>4197</v>
      </c>
      <c r="Q1414" s="23">
        <v>45128</v>
      </c>
      <c r="R1414" s="32">
        <v>45494</v>
      </c>
      <c r="V1414" s="33">
        <v>100</v>
      </c>
      <c r="W1414" s="28">
        <v>64.29</v>
      </c>
      <c r="X1414" s="34" t="s">
        <v>54</v>
      </c>
      <c r="Y1414" s="33">
        <v>64.29</v>
      </c>
      <c r="AC1414" s="28">
        <v>64.29</v>
      </c>
      <c r="AD1414" s="34" t="s">
        <v>54</v>
      </c>
      <c r="AE1414" s="33">
        <v>64.29</v>
      </c>
      <c r="AN1414" s="7" t="s">
        <v>54</v>
      </c>
      <c r="AO1414" s="7" t="s">
        <v>55</v>
      </c>
      <c r="AP1414" s="7" t="s">
        <v>56</v>
      </c>
      <c r="AT1414" s="47" t="s">
        <v>57</v>
      </c>
      <c r="AU1414" s="47" t="s">
        <v>57</v>
      </c>
    </row>
    <row r="1415" spans="1:47">
      <c r="A1415" s="4" t="s">
        <v>48</v>
      </c>
      <c r="C1415" s="21"/>
      <c r="D1415" s="22" t="s">
        <v>49</v>
      </c>
      <c r="G1415" s="23">
        <v>45097</v>
      </c>
      <c r="H1415" s="24" t="s">
        <v>4198</v>
      </c>
      <c r="J1415" s="28" t="s">
        <v>51</v>
      </c>
      <c r="L1415" s="24" t="s">
        <v>4199</v>
      </c>
      <c r="M1415" s="1" t="str">
        <f>"220182199101172330"</f>
        <v>220182199101172330</v>
      </c>
      <c r="N1415" s="24" t="s">
        <v>4199</v>
      </c>
      <c r="O1415" s="1" t="str">
        <f>"220182199101172330"</f>
        <v>220182199101172330</v>
      </c>
      <c r="P1415" s="23" t="s">
        <v>4200</v>
      </c>
      <c r="Q1415" s="23">
        <v>45098</v>
      </c>
      <c r="R1415" s="32">
        <v>45464</v>
      </c>
      <c r="V1415" s="33">
        <v>100</v>
      </c>
      <c r="W1415" s="28">
        <v>64.29</v>
      </c>
      <c r="X1415" s="34" t="s">
        <v>54</v>
      </c>
      <c r="Y1415" s="33">
        <v>64.29</v>
      </c>
      <c r="AC1415" s="28">
        <v>64.29</v>
      </c>
      <c r="AD1415" s="34" t="s">
        <v>54</v>
      </c>
      <c r="AE1415" s="33">
        <v>64.29</v>
      </c>
      <c r="AN1415" s="7" t="s">
        <v>54</v>
      </c>
      <c r="AO1415" s="7" t="s">
        <v>55</v>
      </c>
      <c r="AP1415" s="7" t="s">
        <v>56</v>
      </c>
      <c r="AT1415" s="47" t="s">
        <v>57</v>
      </c>
      <c r="AU1415" s="47" t="s">
        <v>57</v>
      </c>
    </row>
    <row r="1416" spans="1:47">
      <c r="A1416" s="4" t="s">
        <v>48</v>
      </c>
      <c r="C1416" s="21"/>
      <c r="D1416" s="22" t="s">
        <v>49</v>
      </c>
      <c r="G1416" s="23">
        <v>45088</v>
      </c>
      <c r="H1416" s="24" t="s">
        <v>4201</v>
      </c>
      <c r="J1416" s="28" t="s">
        <v>51</v>
      </c>
      <c r="L1416" s="24" t="s">
        <v>4202</v>
      </c>
      <c r="M1416" s="1" t="str">
        <f>"130532198404087063"</f>
        <v>130532198404087063</v>
      </c>
      <c r="N1416" s="24" t="s">
        <v>4202</v>
      </c>
      <c r="O1416" s="1" t="str">
        <f>"130532198404087063"</f>
        <v>130532198404087063</v>
      </c>
      <c r="P1416" s="23" t="s">
        <v>4203</v>
      </c>
      <c r="Q1416" s="23">
        <v>45089</v>
      </c>
      <c r="R1416" s="32">
        <v>45455</v>
      </c>
      <c r="V1416" s="33">
        <v>100</v>
      </c>
      <c r="W1416" s="28">
        <v>64.29</v>
      </c>
      <c r="X1416" s="34" t="s">
        <v>54</v>
      </c>
      <c r="Y1416" s="33">
        <v>64.29</v>
      </c>
      <c r="AC1416" s="28">
        <v>64.29</v>
      </c>
      <c r="AD1416" s="34" t="s">
        <v>54</v>
      </c>
      <c r="AE1416" s="33">
        <v>64.29</v>
      </c>
      <c r="AN1416" s="7" t="s">
        <v>54</v>
      </c>
      <c r="AO1416" s="7" t="s">
        <v>55</v>
      </c>
      <c r="AP1416" s="7" t="s">
        <v>56</v>
      </c>
      <c r="AT1416" s="47" t="s">
        <v>57</v>
      </c>
      <c r="AU1416" s="47" t="s">
        <v>57</v>
      </c>
    </row>
    <row r="1417" spans="1:47">
      <c r="A1417" s="4" t="s">
        <v>48</v>
      </c>
      <c r="C1417" s="21"/>
      <c r="D1417" s="22" t="s">
        <v>49</v>
      </c>
      <c r="G1417" s="23">
        <v>45072</v>
      </c>
      <c r="H1417" s="24" t="s">
        <v>4204</v>
      </c>
      <c r="J1417" s="28" t="s">
        <v>51</v>
      </c>
      <c r="L1417" s="24" t="s">
        <v>4205</v>
      </c>
      <c r="M1417" s="1" t="str">
        <f>"131082196503068317"</f>
        <v>131082196503068317</v>
      </c>
      <c r="N1417" s="24" t="s">
        <v>4205</v>
      </c>
      <c r="O1417" s="1" t="str">
        <f>"131082196503068317"</f>
        <v>131082196503068317</v>
      </c>
      <c r="P1417" s="23" t="s">
        <v>4206</v>
      </c>
      <c r="Q1417" s="23">
        <v>45073</v>
      </c>
      <c r="R1417" s="32">
        <v>45439</v>
      </c>
      <c r="V1417" s="33">
        <v>100</v>
      </c>
      <c r="W1417" s="28">
        <v>64.29</v>
      </c>
      <c r="X1417" s="34" t="s">
        <v>54</v>
      </c>
      <c r="Y1417" s="33">
        <v>64.29</v>
      </c>
      <c r="AC1417" s="28">
        <v>64.29</v>
      </c>
      <c r="AD1417" s="34" t="s">
        <v>54</v>
      </c>
      <c r="AE1417" s="33">
        <v>64.29</v>
      </c>
      <c r="AN1417" s="7" t="s">
        <v>54</v>
      </c>
      <c r="AO1417" s="7" t="s">
        <v>55</v>
      </c>
      <c r="AP1417" s="7" t="s">
        <v>56</v>
      </c>
      <c r="AT1417" s="47" t="s">
        <v>57</v>
      </c>
      <c r="AU1417" s="47" t="s">
        <v>57</v>
      </c>
    </row>
    <row r="1418" spans="1:47">
      <c r="A1418" s="4" t="s">
        <v>48</v>
      </c>
      <c r="C1418" s="21"/>
      <c r="D1418" s="22" t="s">
        <v>49</v>
      </c>
      <c r="G1418" s="23">
        <v>45072</v>
      </c>
      <c r="H1418" s="24" t="s">
        <v>4207</v>
      </c>
      <c r="J1418" s="28" t="s">
        <v>51</v>
      </c>
      <c r="L1418" s="24" t="s">
        <v>4208</v>
      </c>
      <c r="M1418" s="1" t="str">
        <f>"110224197004151826"</f>
        <v>110224197004151826</v>
      </c>
      <c r="N1418" s="24" t="s">
        <v>4208</v>
      </c>
      <c r="O1418" s="1" t="str">
        <f>"110224197004151826"</f>
        <v>110224197004151826</v>
      </c>
      <c r="P1418" s="23" t="s">
        <v>4209</v>
      </c>
      <c r="Q1418" s="23">
        <v>45073</v>
      </c>
      <c r="R1418" s="32">
        <v>45439</v>
      </c>
      <c r="V1418" s="33">
        <v>100</v>
      </c>
      <c r="W1418" s="28">
        <v>64.29</v>
      </c>
      <c r="X1418" s="34" t="s">
        <v>54</v>
      </c>
      <c r="Y1418" s="33">
        <v>64.29</v>
      </c>
      <c r="AC1418" s="28">
        <v>64.29</v>
      </c>
      <c r="AD1418" s="34" t="s">
        <v>54</v>
      </c>
      <c r="AE1418" s="33">
        <v>64.29</v>
      </c>
      <c r="AN1418" s="7" t="s">
        <v>54</v>
      </c>
      <c r="AO1418" s="7" t="s">
        <v>55</v>
      </c>
      <c r="AP1418" s="7" t="s">
        <v>56</v>
      </c>
      <c r="AT1418" s="47" t="s">
        <v>57</v>
      </c>
      <c r="AU1418" s="47" t="s">
        <v>57</v>
      </c>
    </row>
    <row r="1419" spans="1:47">
      <c r="A1419" s="4" t="s">
        <v>48</v>
      </c>
      <c r="C1419" s="21"/>
      <c r="D1419" s="22" t="s">
        <v>49</v>
      </c>
      <c r="G1419" s="23">
        <v>45072</v>
      </c>
      <c r="H1419" s="24" t="s">
        <v>4210</v>
      </c>
      <c r="J1419" s="28" t="s">
        <v>51</v>
      </c>
      <c r="L1419" s="24" t="s">
        <v>4211</v>
      </c>
      <c r="M1419" s="1" t="str">
        <f>"132821195506218277"</f>
        <v>132821195506218277</v>
      </c>
      <c r="N1419" s="24" t="s">
        <v>4211</v>
      </c>
      <c r="O1419" s="1" t="str">
        <f>"132821195506218277"</f>
        <v>132821195506218277</v>
      </c>
      <c r="P1419" s="23" t="s">
        <v>4212</v>
      </c>
      <c r="Q1419" s="23">
        <v>45283</v>
      </c>
      <c r="R1419" s="32">
        <v>45649</v>
      </c>
      <c r="V1419" s="33">
        <v>100</v>
      </c>
      <c r="W1419" s="28">
        <v>64.29</v>
      </c>
      <c r="X1419" s="34" t="s">
        <v>54</v>
      </c>
      <c r="Y1419" s="33">
        <v>64.29</v>
      </c>
      <c r="AC1419" s="28">
        <v>64.29</v>
      </c>
      <c r="AD1419" s="34" t="s">
        <v>54</v>
      </c>
      <c r="AE1419" s="33">
        <v>64.29</v>
      </c>
      <c r="AN1419" s="7" t="s">
        <v>54</v>
      </c>
      <c r="AO1419" s="7" t="s">
        <v>55</v>
      </c>
      <c r="AP1419" s="7" t="s">
        <v>56</v>
      </c>
      <c r="AT1419" s="47" t="s">
        <v>57</v>
      </c>
      <c r="AU1419" s="47" t="s">
        <v>57</v>
      </c>
    </row>
    <row r="1420" spans="1:47">
      <c r="A1420" s="4" t="s">
        <v>48</v>
      </c>
      <c r="C1420" s="21"/>
      <c r="D1420" s="22" t="s">
        <v>49</v>
      </c>
      <c r="G1420" s="23">
        <v>45072</v>
      </c>
      <c r="H1420" s="24" t="s">
        <v>4213</v>
      </c>
      <c r="J1420" s="28" t="s">
        <v>51</v>
      </c>
      <c r="L1420" s="24" t="s">
        <v>4214</v>
      </c>
      <c r="M1420" s="1" t="str">
        <f>"131082199112030278"</f>
        <v>131082199112030278</v>
      </c>
      <c r="N1420" s="24" t="s">
        <v>4214</v>
      </c>
      <c r="O1420" s="1" t="str">
        <f>"131082199112030278"</f>
        <v>131082199112030278</v>
      </c>
      <c r="P1420" s="23" t="s">
        <v>4215</v>
      </c>
      <c r="Q1420" s="23">
        <v>45134</v>
      </c>
      <c r="R1420" s="32">
        <v>45500</v>
      </c>
      <c r="V1420" s="33">
        <v>100</v>
      </c>
      <c r="W1420" s="28">
        <v>64.29</v>
      </c>
      <c r="X1420" s="34" t="s">
        <v>54</v>
      </c>
      <c r="Y1420" s="33">
        <v>64.29</v>
      </c>
      <c r="AC1420" s="28">
        <v>64.29</v>
      </c>
      <c r="AD1420" s="34" t="s">
        <v>54</v>
      </c>
      <c r="AE1420" s="33">
        <v>64.29</v>
      </c>
      <c r="AN1420" s="7" t="s">
        <v>54</v>
      </c>
      <c r="AO1420" s="7" t="s">
        <v>55</v>
      </c>
      <c r="AP1420" s="7" t="s">
        <v>56</v>
      </c>
      <c r="AT1420" s="47" t="s">
        <v>57</v>
      </c>
      <c r="AU1420" s="47" t="s">
        <v>57</v>
      </c>
    </row>
    <row r="1421" spans="1:47">
      <c r="A1421" s="4" t="s">
        <v>48</v>
      </c>
      <c r="C1421" s="21"/>
      <c r="D1421" s="22" t="s">
        <v>49</v>
      </c>
      <c r="G1421" s="23">
        <v>45072</v>
      </c>
      <c r="H1421" s="24" t="s">
        <v>4216</v>
      </c>
      <c r="J1421" s="28" t="s">
        <v>51</v>
      </c>
      <c r="L1421" s="24" t="s">
        <v>4217</v>
      </c>
      <c r="M1421" s="1" t="str">
        <f>"410923198408105428"</f>
        <v>410923198408105428</v>
      </c>
      <c r="N1421" s="24" t="s">
        <v>4217</v>
      </c>
      <c r="O1421" s="1" t="str">
        <f>"410923198408105428"</f>
        <v>410923198408105428</v>
      </c>
      <c r="P1421" s="23" t="s">
        <v>4218</v>
      </c>
      <c r="Q1421" s="23">
        <v>45134</v>
      </c>
      <c r="R1421" s="32">
        <v>45500</v>
      </c>
      <c r="V1421" s="33">
        <v>100</v>
      </c>
      <c r="W1421" s="28">
        <v>64.29</v>
      </c>
      <c r="X1421" s="34" t="s">
        <v>54</v>
      </c>
      <c r="Y1421" s="33">
        <v>64.29</v>
      </c>
      <c r="AC1421" s="28">
        <v>64.29</v>
      </c>
      <c r="AD1421" s="34" t="s">
        <v>54</v>
      </c>
      <c r="AE1421" s="33">
        <v>64.29</v>
      </c>
      <c r="AN1421" s="7" t="s">
        <v>54</v>
      </c>
      <c r="AO1421" s="7" t="s">
        <v>55</v>
      </c>
      <c r="AP1421" s="7" t="s">
        <v>56</v>
      </c>
      <c r="AT1421" s="47" t="s">
        <v>57</v>
      </c>
      <c r="AU1421" s="47" t="s">
        <v>57</v>
      </c>
    </row>
    <row r="1422" spans="1:47">
      <c r="A1422" s="4" t="s">
        <v>48</v>
      </c>
      <c r="C1422" s="21"/>
      <c r="D1422" s="22" t="s">
        <v>49</v>
      </c>
      <c r="G1422" s="23">
        <v>45086</v>
      </c>
      <c r="H1422" s="24" t="s">
        <v>4219</v>
      </c>
      <c r="J1422" s="28" t="s">
        <v>51</v>
      </c>
      <c r="L1422" s="24" t="s">
        <v>4220</v>
      </c>
      <c r="M1422" s="1" t="str">
        <f>"341221198006161031"</f>
        <v>341221198006161031</v>
      </c>
      <c r="N1422" s="24" t="s">
        <v>4220</v>
      </c>
      <c r="O1422" s="1" t="str">
        <f>"341221198006161031"</f>
        <v>341221198006161031</v>
      </c>
      <c r="P1422" s="23" t="s">
        <v>4221</v>
      </c>
      <c r="Q1422" s="23">
        <v>45087</v>
      </c>
      <c r="R1422" s="32">
        <v>45453</v>
      </c>
      <c r="V1422" s="33">
        <v>50</v>
      </c>
      <c r="W1422" s="28">
        <v>64.29</v>
      </c>
      <c r="X1422" s="34" t="s">
        <v>54</v>
      </c>
      <c r="Y1422" s="33">
        <v>32.15</v>
      </c>
      <c r="AC1422" s="28">
        <v>64.29</v>
      </c>
      <c r="AD1422" s="34" t="s">
        <v>54</v>
      </c>
      <c r="AE1422" s="33">
        <v>32.15</v>
      </c>
      <c r="AN1422" s="7" t="s">
        <v>54</v>
      </c>
      <c r="AO1422" s="7" t="s">
        <v>55</v>
      </c>
      <c r="AP1422" s="7" t="s">
        <v>56</v>
      </c>
      <c r="AT1422" s="47" t="s">
        <v>57</v>
      </c>
      <c r="AU1422" s="47" t="s">
        <v>57</v>
      </c>
    </row>
    <row r="1423" spans="1:47">
      <c r="A1423" s="4" t="s">
        <v>48</v>
      </c>
      <c r="C1423" s="21"/>
      <c r="D1423" s="22" t="s">
        <v>49</v>
      </c>
      <c r="G1423" s="23">
        <v>45086</v>
      </c>
      <c r="H1423" s="24" t="s">
        <v>4222</v>
      </c>
      <c r="J1423" s="28" t="s">
        <v>51</v>
      </c>
      <c r="L1423" s="24" t="s">
        <v>4223</v>
      </c>
      <c r="M1423" s="1" t="str">
        <f>"132821194601058289"</f>
        <v>132821194601058289</v>
      </c>
      <c r="N1423" s="24" t="s">
        <v>4223</v>
      </c>
      <c r="O1423" s="1" t="str">
        <f>"132821194601058289"</f>
        <v>132821194601058289</v>
      </c>
      <c r="P1423" s="23" t="s">
        <v>4224</v>
      </c>
      <c r="Q1423" s="23">
        <v>45087</v>
      </c>
      <c r="R1423" s="32">
        <v>45453</v>
      </c>
      <c r="V1423" s="33">
        <v>50</v>
      </c>
      <c r="W1423" s="28">
        <v>64.29</v>
      </c>
      <c r="X1423" s="34" t="s">
        <v>54</v>
      </c>
      <c r="Y1423" s="33">
        <v>32.15</v>
      </c>
      <c r="AC1423" s="28">
        <v>64.29</v>
      </c>
      <c r="AD1423" s="34" t="s">
        <v>54</v>
      </c>
      <c r="AE1423" s="33">
        <v>32.15</v>
      </c>
      <c r="AN1423" s="7" t="s">
        <v>54</v>
      </c>
      <c r="AO1423" s="7" t="s">
        <v>55</v>
      </c>
      <c r="AP1423" s="7" t="s">
        <v>56</v>
      </c>
      <c r="AT1423" s="47" t="s">
        <v>57</v>
      </c>
      <c r="AU1423" s="47" t="s">
        <v>57</v>
      </c>
    </row>
    <row r="1424" spans="1:47">
      <c r="A1424" s="4" t="s">
        <v>48</v>
      </c>
      <c r="C1424" s="21"/>
      <c r="D1424" s="22" t="s">
        <v>49</v>
      </c>
      <c r="G1424" s="23">
        <v>45085</v>
      </c>
      <c r="H1424" s="24" t="s">
        <v>4225</v>
      </c>
      <c r="J1424" s="28" t="s">
        <v>51</v>
      </c>
      <c r="L1424" s="24" t="s">
        <v>4226</v>
      </c>
      <c r="M1424" s="1" t="str">
        <f>"342101195512050015"</f>
        <v>342101195512050015</v>
      </c>
      <c r="N1424" s="24" t="s">
        <v>4226</v>
      </c>
      <c r="O1424" s="1" t="str">
        <f>"342101195512050015"</f>
        <v>342101195512050015</v>
      </c>
      <c r="P1424" s="23" t="s">
        <v>4227</v>
      </c>
      <c r="Q1424" s="23">
        <v>45086</v>
      </c>
      <c r="R1424" s="32">
        <v>45452</v>
      </c>
      <c r="V1424" s="33">
        <v>50</v>
      </c>
      <c r="W1424" s="28">
        <v>64.29</v>
      </c>
      <c r="X1424" s="34" t="s">
        <v>54</v>
      </c>
      <c r="Y1424" s="33">
        <v>32.15</v>
      </c>
      <c r="AC1424" s="28">
        <v>64.29</v>
      </c>
      <c r="AD1424" s="34" t="s">
        <v>54</v>
      </c>
      <c r="AE1424" s="33">
        <v>32.15</v>
      </c>
      <c r="AN1424" s="7" t="s">
        <v>54</v>
      </c>
      <c r="AO1424" s="7" t="s">
        <v>55</v>
      </c>
      <c r="AP1424" s="7" t="s">
        <v>56</v>
      </c>
      <c r="AT1424" s="47" t="s">
        <v>57</v>
      </c>
      <c r="AU1424" s="47" t="s">
        <v>57</v>
      </c>
    </row>
    <row r="1425" spans="1:47">
      <c r="A1425" s="4" t="s">
        <v>48</v>
      </c>
      <c r="C1425" s="21"/>
      <c r="D1425" s="22" t="s">
        <v>49</v>
      </c>
      <c r="G1425" s="23">
        <v>45083</v>
      </c>
      <c r="H1425" s="24" t="s">
        <v>4228</v>
      </c>
      <c r="J1425" s="28" t="s">
        <v>51</v>
      </c>
      <c r="L1425" s="24" t="s">
        <v>4229</v>
      </c>
      <c r="M1425" s="1" t="str">
        <f>"342101196008011337"</f>
        <v>342101196008011337</v>
      </c>
      <c r="N1425" s="24" t="s">
        <v>4229</v>
      </c>
      <c r="O1425" s="1" t="str">
        <f>"342101196008011337"</f>
        <v>342101196008011337</v>
      </c>
      <c r="P1425" s="23" t="s">
        <v>4230</v>
      </c>
      <c r="Q1425" s="23">
        <v>45084</v>
      </c>
      <c r="R1425" s="32">
        <v>45450</v>
      </c>
      <c r="V1425" s="33">
        <v>50</v>
      </c>
      <c r="W1425" s="28">
        <v>64.29</v>
      </c>
      <c r="X1425" s="34" t="s">
        <v>54</v>
      </c>
      <c r="Y1425" s="33">
        <v>32.15</v>
      </c>
      <c r="AC1425" s="28">
        <v>64.29</v>
      </c>
      <c r="AD1425" s="34" t="s">
        <v>54</v>
      </c>
      <c r="AE1425" s="33">
        <v>32.15</v>
      </c>
      <c r="AN1425" s="7" t="s">
        <v>54</v>
      </c>
      <c r="AO1425" s="7" t="s">
        <v>55</v>
      </c>
      <c r="AP1425" s="7" t="s">
        <v>56</v>
      </c>
      <c r="AT1425" s="47" t="s">
        <v>57</v>
      </c>
      <c r="AU1425" s="47" t="s">
        <v>57</v>
      </c>
    </row>
    <row r="1426" spans="1:47">
      <c r="A1426" s="4" t="s">
        <v>48</v>
      </c>
      <c r="C1426" s="21"/>
      <c r="D1426" s="22" t="s">
        <v>49</v>
      </c>
      <c r="G1426" s="23">
        <v>45096</v>
      </c>
      <c r="H1426" s="24" t="s">
        <v>4231</v>
      </c>
      <c r="J1426" s="28" t="s">
        <v>51</v>
      </c>
      <c r="L1426" s="24" t="s">
        <v>4232</v>
      </c>
      <c r="M1426" s="1" t="str">
        <f>"132821195504288271"</f>
        <v>132821195504288271</v>
      </c>
      <c r="N1426" s="24" t="s">
        <v>4232</v>
      </c>
      <c r="O1426" s="1" t="str">
        <f>"132821195504288271"</f>
        <v>132821195504288271</v>
      </c>
      <c r="P1426" s="23" t="s">
        <v>3455</v>
      </c>
      <c r="Q1426" s="23">
        <v>45097</v>
      </c>
      <c r="R1426" s="32">
        <v>45463</v>
      </c>
      <c r="V1426" s="33">
        <v>100</v>
      </c>
      <c r="W1426" s="28">
        <v>64.29</v>
      </c>
      <c r="X1426" s="34" t="s">
        <v>54</v>
      </c>
      <c r="Y1426" s="33">
        <v>64.29</v>
      </c>
      <c r="AC1426" s="28">
        <v>64.29</v>
      </c>
      <c r="AD1426" s="34" t="s">
        <v>54</v>
      </c>
      <c r="AE1426" s="33">
        <v>64.29</v>
      </c>
      <c r="AN1426" s="7" t="s">
        <v>54</v>
      </c>
      <c r="AO1426" s="7" t="s">
        <v>55</v>
      </c>
      <c r="AP1426" s="7" t="s">
        <v>56</v>
      </c>
      <c r="AT1426" s="47" t="s">
        <v>57</v>
      </c>
      <c r="AU1426" s="47" t="s">
        <v>57</v>
      </c>
    </row>
    <row r="1427" spans="1:47">
      <c r="A1427" s="4" t="s">
        <v>48</v>
      </c>
      <c r="C1427" s="21"/>
      <c r="D1427" s="22" t="s">
        <v>49</v>
      </c>
      <c r="G1427" s="23">
        <v>45096</v>
      </c>
      <c r="H1427" s="24" t="s">
        <v>4233</v>
      </c>
      <c r="J1427" s="28" t="s">
        <v>51</v>
      </c>
      <c r="L1427" s="24" t="s">
        <v>4234</v>
      </c>
      <c r="M1427" s="1" t="str">
        <f>"132821196602108515"</f>
        <v>132821196602108515</v>
      </c>
      <c r="N1427" s="24" t="s">
        <v>4234</v>
      </c>
      <c r="O1427" s="1" t="str">
        <f>"132821196602108515"</f>
        <v>132821196602108515</v>
      </c>
      <c r="P1427" s="23" t="s">
        <v>4235</v>
      </c>
      <c r="Q1427" s="23">
        <v>45219</v>
      </c>
      <c r="R1427" s="32">
        <v>45585</v>
      </c>
      <c r="V1427" s="33">
        <v>100</v>
      </c>
      <c r="W1427" s="28">
        <v>64.29</v>
      </c>
      <c r="X1427" s="34" t="s">
        <v>54</v>
      </c>
      <c r="Y1427" s="33">
        <v>64.29</v>
      </c>
      <c r="AC1427" s="28">
        <v>64.29</v>
      </c>
      <c r="AD1427" s="34" t="s">
        <v>54</v>
      </c>
      <c r="AE1427" s="33">
        <v>64.29</v>
      </c>
      <c r="AN1427" s="7" t="s">
        <v>54</v>
      </c>
      <c r="AO1427" s="7" t="s">
        <v>55</v>
      </c>
      <c r="AP1427" s="7" t="s">
        <v>56</v>
      </c>
      <c r="AT1427" s="47" t="s">
        <v>57</v>
      </c>
      <c r="AU1427" s="47" t="s">
        <v>57</v>
      </c>
    </row>
    <row r="1428" spans="1:47">
      <c r="A1428" s="4" t="s">
        <v>48</v>
      </c>
      <c r="C1428" s="21"/>
      <c r="D1428" s="22" t="s">
        <v>49</v>
      </c>
      <c r="G1428" s="23">
        <v>45096</v>
      </c>
      <c r="H1428" s="24" t="s">
        <v>4236</v>
      </c>
      <c r="J1428" s="28" t="s">
        <v>51</v>
      </c>
      <c r="L1428" s="24" t="s">
        <v>4237</v>
      </c>
      <c r="M1428" s="1" t="str">
        <f>"132821195504288271"</f>
        <v>132821195504288271</v>
      </c>
      <c r="N1428" s="24" t="s">
        <v>4237</v>
      </c>
      <c r="O1428" s="1" t="str">
        <f>"132821195504288271"</f>
        <v>132821195504288271</v>
      </c>
      <c r="P1428" s="23" t="s">
        <v>3455</v>
      </c>
      <c r="Q1428" s="23">
        <v>45280</v>
      </c>
      <c r="R1428" s="32">
        <v>45646</v>
      </c>
      <c r="V1428" s="33">
        <v>100</v>
      </c>
      <c r="W1428" s="28">
        <v>64.29</v>
      </c>
      <c r="X1428" s="34" t="s">
        <v>54</v>
      </c>
      <c r="Y1428" s="33">
        <v>64.29</v>
      </c>
      <c r="AC1428" s="28">
        <v>64.29</v>
      </c>
      <c r="AD1428" s="34" t="s">
        <v>54</v>
      </c>
      <c r="AE1428" s="33">
        <v>64.29</v>
      </c>
      <c r="AN1428" s="7" t="s">
        <v>54</v>
      </c>
      <c r="AO1428" s="7" t="s">
        <v>55</v>
      </c>
      <c r="AP1428" s="7" t="s">
        <v>56</v>
      </c>
      <c r="AT1428" s="47" t="s">
        <v>57</v>
      </c>
      <c r="AU1428" s="47" t="s">
        <v>57</v>
      </c>
    </row>
    <row r="1429" spans="1:47">
      <c r="A1429" s="4" t="s">
        <v>48</v>
      </c>
      <c r="C1429" s="21"/>
      <c r="D1429" s="22" t="s">
        <v>49</v>
      </c>
      <c r="G1429" s="23">
        <v>45086</v>
      </c>
      <c r="H1429" s="24" t="s">
        <v>4238</v>
      </c>
      <c r="J1429" s="28" t="s">
        <v>51</v>
      </c>
      <c r="L1429" s="24" t="s">
        <v>4239</v>
      </c>
      <c r="M1429" s="1" t="str">
        <f>"650204195712070729"</f>
        <v>650204195712070729</v>
      </c>
      <c r="N1429" s="24" t="s">
        <v>4239</v>
      </c>
      <c r="O1429" s="1" t="str">
        <f>"650204195712070729"</f>
        <v>650204195712070729</v>
      </c>
      <c r="P1429" s="23" t="s">
        <v>4240</v>
      </c>
      <c r="Q1429" s="23">
        <v>45177</v>
      </c>
      <c r="R1429" s="32">
        <v>45543</v>
      </c>
      <c r="V1429" s="33">
        <v>100</v>
      </c>
      <c r="W1429" s="28">
        <v>64.29</v>
      </c>
      <c r="X1429" s="34" t="s">
        <v>54</v>
      </c>
      <c r="Y1429" s="33">
        <v>64.29</v>
      </c>
      <c r="AC1429" s="28">
        <v>64.29</v>
      </c>
      <c r="AD1429" s="34" t="s">
        <v>54</v>
      </c>
      <c r="AE1429" s="33">
        <v>64.29</v>
      </c>
      <c r="AN1429" s="7" t="s">
        <v>54</v>
      </c>
      <c r="AO1429" s="7" t="s">
        <v>55</v>
      </c>
      <c r="AP1429" s="7" t="s">
        <v>56</v>
      </c>
      <c r="AT1429" s="47" t="s">
        <v>57</v>
      </c>
      <c r="AU1429" s="47" t="s">
        <v>57</v>
      </c>
    </row>
    <row r="1430" spans="1:47">
      <c r="A1430" s="4" t="s">
        <v>48</v>
      </c>
      <c r="C1430" s="21"/>
      <c r="D1430" s="22" t="s">
        <v>49</v>
      </c>
      <c r="G1430" s="23">
        <v>45086</v>
      </c>
      <c r="H1430" s="24" t="s">
        <v>4241</v>
      </c>
      <c r="J1430" s="28" t="s">
        <v>51</v>
      </c>
      <c r="L1430" s="24" t="s">
        <v>4242</v>
      </c>
      <c r="M1430" s="1" t="str">
        <f>"131082196605128210"</f>
        <v>131082196605128210</v>
      </c>
      <c r="N1430" s="24" t="s">
        <v>4242</v>
      </c>
      <c r="O1430" s="1" t="str">
        <f>"131082196605128210"</f>
        <v>131082196605128210</v>
      </c>
      <c r="P1430" s="23" t="s">
        <v>4243</v>
      </c>
      <c r="Q1430" s="23">
        <v>45087</v>
      </c>
      <c r="R1430" s="32">
        <v>45453</v>
      </c>
      <c r="V1430" s="33">
        <v>100</v>
      </c>
      <c r="W1430" s="28">
        <v>64.29</v>
      </c>
      <c r="X1430" s="34" t="s">
        <v>54</v>
      </c>
      <c r="Y1430" s="33">
        <v>64.29</v>
      </c>
      <c r="AC1430" s="28">
        <v>64.29</v>
      </c>
      <c r="AD1430" s="34" t="s">
        <v>54</v>
      </c>
      <c r="AE1430" s="33">
        <v>64.29</v>
      </c>
      <c r="AN1430" s="7" t="s">
        <v>54</v>
      </c>
      <c r="AO1430" s="7" t="s">
        <v>55</v>
      </c>
      <c r="AP1430" s="7" t="s">
        <v>56</v>
      </c>
      <c r="AT1430" s="47" t="s">
        <v>57</v>
      </c>
      <c r="AU1430" s="47" t="s">
        <v>57</v>
      </c>
    </row>
    <row r="1431" spans="1:47">
      <c r="A1431" s="4" t="s">
        <v>48</v>
      </c>
      <c r="C1431" s="21"/>
      <c r="D1431" s="22" t="s">
        <v>49</v>
      </c>
      <c r="G1431" s="23">
        <v>45102</v>
      </c>
      <c r="H1431" s="24" t="s">
        <v>4244</v>
      </c>
      <c r="J1431" s="28" t="s">
        <v>51</v>
      </c>
      <c r="L1431" s="24" t="s">
        <v>4245</v>
      </c>
      <c r="M1431" s="1" t="str">
        <f>"342122197008020213"</f>
        <v>342122197008020213</v>
      </c>
      <c r="N1431" s="24" t="s">
        <v>4245</v>
      </c>
      <c r="O1431" s="1" t="str">
        <f>"342122197008020213"</f>
        <v>342122197008020213</v>
      </c>
      <c r="P1431" s="23" t="s">
        <v>4246</v>
      </c>
      <c r="Q1431" s="23">
        <v>45103</v>
      </c>
      <c r="R1431" s="32">
        <v>45469</v>
      </c>
      <c r="V1431" s="33">
        <v>200</v>
      </c>
      <c r="W1431" s="28">
        <v>64.29</v>
      </c>
      <c r="X1431" s="34" t="s">
        <v>54</v>
      </c>
      <c r="Y1431" s="33">
        <v>128.58</v>
      </c>
      <c r="AC1431" s="28">
        <v>64.29</v>
      </c>
      <c r="AD1431" s="34" t="s">
        <v>54</v>
      </c>
      <c r="AE1431" s="33">
        <v>128.58</v>
      </c>
      <c r="AN1431" s="7" t="s">
        <v>54</v>
      </c>
      <c r="AO1431" s="7" t="s">
        <v>55</v>
      </c>
      <c r="AP1431" s="7" t="s">
        <v>56</v>
      </c>
      <c r="AT1431" s="47" t="s">
        <v>57</v>
      </c>
      <c r="AU1431" s="47" t="s">
        <v>57</v>
      </c>
    </row>
    <row r="1432" spans="1:47">
      <c r="A1432" s="4" t="s">
        <v>48</v>
      </c>
      <c r="C1432" s="21"/>
      <c r="D1432" s="22" t="s">
        <v>49</v>
      </c>
      <c r="G1432" s="23">
        <v>45102</v>
      </c>
      <c r="H1432" s="24" t="s">
        <v>4247</v>
      </c>
      <c r="J1432" s="28" t="s">
        <v>51</v>
      </c>
      <c r="L1432" s="24" t="s">
        <v>4248</v>
      </c>
      <c r="M1432" s="1" t="str">
        <f>"341226199408075036"</f>
        <v>341226199408075036</v>
      </c>
      <c r="N1432" s="24" t="s">
        <v>4248</v>
      </c>
      <c r="O1432" s="1" t="str">
        <f>"341226199408075036"</f>
        <v>341226199408075036</v>
      </c>
      <c r="P1432" s="23" t="s">
        <v>4249</v>
      </c>
      <c r="Q1432" s="23">
        <v>45103</v>
      </c>
      <c r="R1432" s="32">
        <v>45469</v>
      </c>
      <c r="V1432" s="33">
        <v>200</v>
      </c>
      <c r="W1432" s="28">
        <v>64.29</v>
      </c>
      <c r="X1432" s="34" t="s">
        <v>54</v>
      </c>
      <c r="Y1432" s="33">
        <v>128.58</v>
      </c>
      <c r="AC1432" s="28">
        <v>64.29</v>
      </c>
      <c r="AD1432" s="34" t="s">
        <v>54</v>
      </c>
      <c r="AE1432" s="33">
        <v>128.58</v>
      </c>
      <c r="AN1432" s="7" t="s">
        <v>54</v>
      </c>
      <c r="AO1432" s="7" t="s">
        <v>55</v>
      </c>
      <c r="AP1432" s="7" t="s">
        <v>56</v>
      </c>
      <c r="AT1432" s="47" t="s">
        <v>57</v>
      </c>
      <c r="AU1432" s="47" t="s">
        <v>57</v>
      </c>
    </row>
    <row r="1433" spans="1:47">
      <c r="A1433" s="4" t="s">
        <v>48</v>
      </c>
      <c r="C1433" s="21"/>
      <c r="D1433" s="22" t="s">
        <v>49</v>
      </c>
      <c r="G1433" s="23">
        <v>45097</v>
      </c>
      <c r="H1433" s="24" t="s">
        <v>4250</v>
      </c>
      <c r="J1433" s="28" t="s">
        <v>51</v>
      </c>
      <c r="L1433" s="24" t="s">
        <v>4251</v>
      </c>
      <c r="M1433" s="1" t="str">
        <f>"341203199010121931"</f>
        <v>341203199010121931</v>
      </c>
      <c r="N1433" s="24" t="s">
        <v>4251</v>
      </c>
      <c r="O1433" s="1" t="str">
        <f>"341203199010121931"</f>
        <v>341203199010121931</v>
      </c>
      <c r="P1433" s="23" t="s">
        <v>4252</v>
      </c>
      <c r="Q1433" s="23">
        <v>45098</v>
      </c>
      <c r="R1433" s="32">
        <v>45464</v>
      </c>
      <c r="V1433" s="33">
        <v>200</v>
      </c>
      <c r="W1433" s="28">
        <v>64.29</v>
      </c>
      <c r="X1433" s="34" t="s">
        <v>54</v>
      </c>
      <c r="Y1433" s="33">
        <v>128.58</v>
      </c>
      <c r="AC1433" s="28">
        <v>64.29</v>
      </c>
      <c r="AD1433" s="34" t="s">
        <v>54</v>
      </c>
      <c r="AE1433" s="33">
        <v>128.58</v>
      </c>
      <c r="AN1433" s="7" t="s">
        <v>54</v>
      </c>
      <c r="AO1433" s="7" t="s">
        <v>55</v>
      </c>
      <c r="AP1433" s="7" t="s">
        <v>56</v>
      </c>
      <c r="AT1433" s="47" t="s">
        <v>57</v>
      </c>
      <c r="AU1433" s="47" t="s">
        <v>57</v>
      </c>
    </row>
    <row r="1434" spans="1:47">
      <c r="A1434" s="4" t="s">
        <v>48</v>
      </c>
      <c r="C1434" s="21"/>
      <c r="D1434" s="22" t="s">
        <v>49</v>
      </c>
      <c r="G1434" s="23">
        <v>45083</v>
      </c>
      <c r="H1434" s="24" t="s">
        <v>4253</v>
      </c>
      <c r="J1434" s="28" t="s">
        <v>51</v>
      </c>
      <c r="L1434" s="24" t="s">
        <v>4254</v>
      </c>
      <c r="M1434" s="1" t="str">
        <f>"342122196910277318"</f>
        <v>342122196910277318</v>
      </c>
      <c r="N1434" s="24" t="s">
        <v>4254</v>
      </c>
      <c r="O1434" s="1" t="str">
        <f>"342122196910277318"</f>
        <v>342122196910277318</v>
      </c>
      <c r="P1434" s="23" t="s">
        <v>4255</v>
      </c>
      <c r="Q1434" s="23">
        <v>45084</v>
      </c>
      <c r="R1434" s="32">
        <v>45450</v>
      </c>
      <c r="V1434" s="33">
        <v>50</v>
      </c>
      <c r="W1434" s="28">
        <v>64.29</v>
      </c>
      <c r="X1434" s="34" t="s">
        <v>54</v>
      </c>
      <c r="Y1434" s="33">
        <v>32.15</v>
      </c>
      <c r="AC1434" s="28">
        <v>64.29</v>
      </c>
      <c r="AD1434" s="34" t="s">
        <v>54</v>
      </c>
      <c r="AE1434" s="33">
        <v>32.15</v>
      </c>
      <c r="AN1434" s="7" t="s">
        <v>54</v>
      </c>
      <c r="AO1434" s="7" t="s">
        <v>55</v>
      </c>
      <c r="AP1434" s="7" t="s">
        <v>56</v>
      </c>
      <c r="AT1434" s="47" t="s">
        <v>57</v>
      </c>
      <c r="AU1434" s="47" t="s">
        <v>57</v>
      </c>
    </row>
    <row r="1435" spans="1:47">
      <c r="A1435" s="4" t="s">
        <v>48</v>
      </c>
      <c r="C1435" s="21"/>
      <c r="D1435" s="22" t="s">
        <v>49</v>
      </c>
      <c r="G1435" s="23">
        <v>45083</v>
      </c>
      <c r="H1435" s="24" t="s">
        <v>4256</v>
      </c>
      <c r="J1435" s="28" t="s">
        <v>51</v>
      </c>
      <c r="L1435" s="24" t="s">
        <v>4257</v>
      </c>
      <c r="M1435" s="1" t="str">
        <f>"342101197310010639"</f>
        <v>342101197310010639</v>
      </c>
      <c r="N1435" s="24" t="s">
        <v>4257</v>
      </c>
      <c r="O1435" s="1" t="str">
        <f>"342101197310010639"</f>
        <v>342101197310010639</v>
      </c>
      <c r="P1435" s="23" t="s">
        <v>4258</v>
      </c>
      <c r="Q1435" s="23">
        <v>45084</v>
      </c>
      <c r="R1435" s="32">
        <v>45450</v>
      </c>
      <c r="V1435" s="33">
        <v>50</v>
      </c>
      <c r="W1435" s="28">
        <v>64.29</v>
      </c>
      <c r="X1435" s="34" t="s">
        <v>54</v>
      </c>
      <c r="Y1435" s="33">
        <v>32.15</v>
      </c>
      <c r="AC1435" s="28">
        <v>64.29</v>
      </c>
      <c r="AD1435" s="34" t="s">
        <v>54</v>
      </c>
      <c r="AE1435" s="33">
        <v>32.15</v>
      </c>
      <c r="AN1435" s="7" t="s">
        <v>54</v>
      </c>
      <c r="AO1435" s="7" t="s">
        <v>55</v>
      </c>
      <c r="AP1435" s="7" t="s">
        <v>56</v>
      </c>
      <c r="AT1435" s="47" t="s">
        <v>57</v>
      </c>
      <c r="AU1435" s="47" t="s">
        <v>57</v>
      </c>
    </row>
    <row r="1436" spans="1:47">
      <c r="A1436" s="4" t="s">
        <v>48</v>
      </c>
      <c r="C1436" s="21"/>
      <c r="D1436" s="22" t="s">
        <v>49</v>
      </c>
      <c r="G1436" s="23">
        <v>45084</v>
      </c>
      <c r="H1436" s="24" t="s">
        <v>4259</v>
      </c>
      <c r="J1436" s="28" t="s">
        <v>51</v>
      </c>
      <c r="L1436" s="24" t="s">
        <v>4260</v>
      </c>
      <c r="M1436" s="1" t="str">
        <f>"342101196212030615"</f>
        <v>342101196212030615</v>
      </c>
      <c r="N1436" s="24" t="s">
        <v>4260</v>
      </c>
      <c r="O1436" s="1" t="str">
        <f>"342101196212030615"</f>
        <v>342101196212030615</v>
      </c>
      <c r="P1436" s="23" t="s">
        <v>4261</v>
      </c>
      <c r="Q1436" s="23">
        <v>45085</v>
      </c>
      <c r="R1436" s="32">
        <v>45451</v>
      </c>
      <c r="V1436" s="33">
        <v>50</v>
      </c>
      <c r="W1436" s="28">
        <v>64.29</v>
      </c>
      <c r="X1436" s="34" t="s">
        <v>54</v>
      </c>
      <c r="Y1436" s="33">
        <v>32.15</v>
      </c>
      <c r="AC1436" s="28">
        <v>64.29</v>
      </c>
      <c r="AD1436" s="34" t="s">
        <v>54</v>
      </c>
      <c r="AE1436" s="33">
        <v>32.15</v>
      </c>
      <c r="AN1436" s="7" t="s">
        <v>54</v>
      </c>
      <c r="AO1436" s="7" t="s">
        <v>55</v>
      </c>
      <c r="AP1436" s="7" t="s">
        <v>56</v>
      </c>
      <c r="AT1436" s="47" t="s">
        <v>57</v>
      </c>
      <c r="AU1436" s="47" t="s">
        <v>57</v>
      </c>
    </row>
    <row r="1437" spans="1:47">
      <c r="A1437" s="4" t="s">
        <v>48</v>
      </c>
      <c r="C1437" s="21"/>
      <c r="D1437" s="22" t="s">
        <v>49</v>
      </c>
      <c r="G1437" s="23">
        <v>45083</v>
      </c>
      <c r="H1437" s="24" t="s">
        <v>4262</v>
      </c>
      <c r="J1437" s="28" t="s">
        <v>51</v>
      </c>
      <c r="L1437" s="24" t="s">
        <v>4263</v>
      </c>
      <c r="M1437" s="1" t="str">
        <f>"341203194510012245"</f>
        <v>341203194510012245</v>
      </c>
      <c r="N1437" s="24" t="s">
        <v>4263</v>
      </c>
      <c r="O1437" s="1" t="str">
        <f>"341203194510012245"</f>
        <v>341203194510012245</v>
      </c>
      <c r="P1437" s="23" t="s">
        <v>4264</v>
      </c>
      <c r="Q1437" s="23">
        <v>45084</v>
      </c>
      <c r="R1437" s="32">
        <v>45450</v>
      </c>
      <c r="V1437" s="33">
        <v>50</v>
      </c>
      <c r="W1437" s="28">
        <v>64.29</v>
      </c>
      <c r="X1437" s="34" t="s">
        <v>54</v>
      </c>
      <c r="Y1437" s="33">
        <v>32.15</v>
      </c>
      <c r="AC1437" s="28">
        <v>64.29</v>
      </c>
      <c r="AD1437" s="34" t="s">
        <v>54</v>
      </c>
      <c r="AE1437" s="33">
        <v>32.15</v>
      </c>
      <c r="AN1437" s="7" t="s">
        <v>54</v>
      </c>
      <c r="AO1437" s="7" t="s">
        <v>55</v>
      </c>
      <c r="AP1437" s="7" t="s">
        <v>56</v>
      </c>
      <c r="AT1437" s="47" t="s">
        <v>57</v>
      </c>
      <c r="AU1437" s="47" t="s">
        <v>57</v>
      </c>
    </row>
    <row r="1438" spans="1:47">
      <c r="A1438" s="4" t="s">
        <v>48</v>
      </c>
      <c r="C1438" s="21"/>
      <c r="D1438" s="22" t="s">
        <v>49</v>
      </c>
      <c r="G1438" s="23">
        <v>45097</v>
      </c>
      <c r="H1438" s="24" t="s">
        <v>4265</v>
      </c>
      <c r="J1438" s="28" t="s">
        <v>51</v>
      </c>
      <c r="L1438" s="24" t="s">
        <v>4266</v>
      </c>
      <c r="M1438" s="1" t="str">
        <f>"131082198711250593"</f>
        <v>131082198711250593</v>
      </c>
      <c r="N1438" s="24" t="s">
        <v>4266</v>
      </c>
      <c r="O1438" s="1" t="str">
        <f>"131082198711250593"</f>
        <v>131082198711250593</v>
      </c>
      <c r="P1438" s="23" t="s">
        <v>4267</v>
      </c>
      <c r="Q1438" s="23">
        <v>45098</v>
      </c>
      <c r="R1438" s="32">
        <v>45464</v>
      </c>
      <c r="V1438" s="33">
        <v>100</v>
      </c>
      <c r="W1438" s="28">
        <v>64.29</v>
      </c>
      <c r="X1438" s="34" t="s">
        <v>54</v>
      </c>
      <c r="Y1438" s="33">
        <v>64.29</v>
      </c>
      <c r="AC1438" s="28">
        <v>64.29</v>
      </c>
      <c r="AD1438" s="34" t="s">
        <v>54</v>
      </c>
      <c r="AE1438" s="33">
        <v>64.29</v>
      </c>
      <c r="AN1438" s="7" t="s">
        <v>54</v>
      </c>
      <c r="AO1438" s="7" t="s">
        <v>55</v>
      </c>
      <c r="AP1438" s="7" t="s">
        <v>56</v>
      </c>
      <c r="AT1438" s="47" t="s">
        <v>57</v>
      </c>
      <c r="AU1438" s="47" t="s">
        <v>57</v>
      </c>
    </row>
    <row r="1439" spans="1:47">
      <c r="A1439" s="4" t="s">
        <v>48</v>
      </c>
      <c r="C1439" s="21"/>
      <c r="D1439" s="22" t="s">
        <v>49</v>
      </c>
      <c r="G1439" s="23">
        <v>45097</v>
      </c>
      <c r="H1439" s="24" t="s">
        <v>4268</v>
      </c>
      <c r="J1439" s="28" t="s">
        <v>51</v>
      </c>
      <c r="L1439" s="24" t="s">
        <v>4269</v>
      </c>
      <c r="M1439" s="1" t="str">
        <f>"211322198802284529"</f>
        <v>211322198802284529</v>
      </c>
      <c r="N1439" s="24" t="s">
        <v>4269</v>
      </c>
      <c r="O1439" s="1" t="str">
        <f>"211322198802284529"</f>
        <v>211322198802284529</v>
      </c>
      <c r="P1439" s="23" t="s">
        <v>4270</v>
      </c>
      <c r="Q1439" s="23">
        <v>45098</v>
      </c>
      <c r="R1439" s="32">
        <v>45464</v>
      </c>
      <c r="V1439" s="33">
        <v>100</v>
      </c>
      <c r="W1439" s="28">
        <v>64.29</v>
      </c>
      <c r="X1439" s="34" t="s">
        <v>54</v>
      </c>
      <c r="Y1439" s="33">
        <v>64.29</v>
      </c>
      <c r="AC1439" s="28">
        <v>64.29</v>
      </c>
      <c r="AD1439" s="34" t="s">
        <v>54</v>
      </c>
      <c r="AE1439" s="33">
        <v>64.29</v>
      </c>
      <c r="AN1439" s="7" t="s">
        <v>54</v>
      </c>
      <c r="AO1439" s="7" t="s">
        <v>55</v>
      </c>
      <c r="AP1439" s="7" t="s">
        <v>56</v>
      </c>
      <c r="AT1439" s="47" t="s">
        <v>57</v>
      </c>
      <c r="AU1439" s="47" t="s">
        <v>57</v>
      </c>
    </row>
    <row r="1440" spans="1:47">
      <c r="A1440" s="4" t="s">
        <v>48</v>
      </c>
      <c r="C1440" s="21"/>
      <c r="D1440" s="22" t="s">
        <v>49</v>
      </c>
      <c r="G1440" s="23">
        <v>45096</v>
      </c>
      <c r="H1440" s="24" t="s">
        <v>4271</v>
      </c>
      <c r="J1440" s="28" t="s">
        <v>51</v>
      </c>
      <c r="L1440" s="24" t="s">
        <v>4272</v>
      </c>
      <c r="M1440" s="1" t="str">
        <f>"341221198512120427"</f>
        <v>341221198512120427</v>
      </c>
      <c r="N1440" s="24" t="s">
        <v>4272</v>
      </c>
      <c r="O1440" s="1" t="str">
        <f>"341221198512120427"</f>
        <v>341221198512120427</v>
      </c>
      <c r="P1440" s="23" t="s">
        <v>4273</v>
      </c>
      <c r="Q1440" s="23">
        <v>45158</v>
      </c>
      <c r="R1440" s="32">
        <v>45524</v>
      </c>
      <c r="V1440" s="33">
        <v>100</v>
      </c>
      <c r="W1440" s="28">
        <v>64.29</v>
      </c>
      <c r="X1440" s="34" t="s">
        <v>54</v>
      </c>
      <c r="Y1440" s="33">
        <v>64.29</v>
      </c>
      <c r="AC1440" s="28">
        <v>64.29</v>
      </c>
      <c r="AD1440" s="34" t="s">
        <v>54</v>
      </c>
      <c r="AE1440" s="33">
        <v>64.29</v>
      </c>
      <c r="AN1440" s="7" t="s">
        <v>54</v>
      </c>
      <c r="AO1440" s="7" t="s">
        <v>55</v>
      </c>
      <c r="AP1440" s="7" t="s">
        <v>56</v>
      </c>
      <c r="AT1440" s="47" t="s">
        <v>57</v>
      </c>
      <c r="AU1440" s="47" t="s">
        <v>57</v>
      </c>
    </row>
    <row r="1441" spans="1:47">
      <c r="A1441" s="4" t="s">
        <v>48</v>
      </c>
      <c r="C1441" s="21"/>
      <c r="D1441" s="22" t="s">
        <v>49</v>
      </c>
      <c r="G1441" s="23">
        <v>45083</v>
      </c>
      <c r="H1441" s="24" t="s">
        <v>4274</v>
      </c>
      <c r="J1441" s="28" t="s">
        <v>51</v>
      </c>
      <c r="L1441" s="24" t="s">
        <v>4275</v>
      </c>
      <c r="M1441" s="1" t="str">
        <f>"342122194508060170"</f>
        <v>342122194508060170</v>
      </c>
      <c r="N1441" s="24" t="s">
        <v>4275</v>
      </c>
      <c r="O1441" s="1" t="str">
        <f>"342122194508060170"</f>
        <v>342122194508060170</v>
      </c>
      <c r="P1441" s="23" t="s">
        <v>4276</v>
      </c>
      <c r="Q1441" s="23">
        <v>45291</v>
      </c>
      <c r="R1441" s="32">
        <v>45657</v>
      </c>
      <c r="V1441" s="33">
        <v>100</v>
      </c>
      <c r="W1441" s="28">
        <v>64.29</v>
      </c>
      <c r="X1441" s="34" t="s">
        <v>54</v>
      </c>
      <c r="Y1441" s="33">
        <v>64.29</v>
      </c>
      <c r="AC1441" s="28">
        <v>64.29</v>
      </c>
      <c r="AD1441" s="34" t="s">
        <v>54</v>
      </c>
      <c r="AE1441" s="33">
        <v>64.29</v>
      </c>
      <c r="AN1441" s="7" t="s">
        <v>54</v>
      </c>
      <c r="AO1441" s="7" t="s">
        <v>55</v>
      </c>
      <c r="AP1441" s="7" t="s">
        <v>56</v>
      </c>
      <c r="AT1441" s="47" t="s">
        <v>57</v>
      </c>
      <c r="AU1441" s="47" t="s">
        <v>57</v>
      </c>
    </row>
    <row r="1442" spans="1:47">
      <c r="A1442" s="4" t="s">
        <v>48</v>
      </c>
      <c r="C1442" s="21"/>
      <c r="D1442" s="22" t="s">
        <v>49</v>
      </c>
      <c r="G1442" s="23">
        <v>45084</v>
      </c>
      <c r="H1442" s="24" t="s">
        <v>4277</v>
      </c>
      <c r="J1442" s="28" t="s">
        <v>51</v>
      </c>
      <c r="L1442" s="24" t="s">
        <v>4278</v>
      </c>
      <c r="M1442" s="1" t="str">
        <f>"131082198409130574"</f>
        <v>131082198409130574</v>
      </c>
      <c r="N1442" s="24" t="s">
        <v>4278</v>
      </c>
      <c r="O1442" s="1" t="str">
        <f>"131082198409130574"</f>
        <v>131082198409130574</v>
      </c>
      <c r="P1442" s="23" t="s">
        <v>4279</v>
      </c>
      <c r="Q1442" s="23">
        <v>45209</v>
      </c>
      <c r="R1442" s="32">
        <v>45575</v>
      </c>
      <c r="V1442" s="33">
        <v>100</v>
      </c>
      <c r="W1442" s="28">
        <v>64.29</v>
      </c>
      <c r="X1442" s="34" t="s">
        <v>54</v>
      </c>
      <c r="Y1442" s="33">
        <v>64.29</v>
      </c>
      <c r="AC1442" s="28">
        <v>64.29</v>
      </c>
      <c r="AD1442" s="34" t="s">
        <v>54</v>
      </c>
      <c r="AE1442" s="33">
        <v>64.29</v>
      </c>
      <c r="AN1442" s="7" t="s">
        <v>54</v>
      </c>
      <c r="AO1442" s="7" t="s">
        <v>55</v>
      </c>
      <c r="AP1442" s="7" t="s">
        <v>56</v>
      </c>
      <c r="AT1442" s="47" t="s">
        <v>57</v>
      </c>
      <c r="AU1442" s="47" t="s">
        <v>57</v>
      </c>
    </row>
    <row r="1443" spans="1:47">
      <c r="A1443" s="4" t="s">
        <v>48</v>
      </c>
      <c r="C1443" s="21"/>
      <c r="D1443" s="22" t="s">
        <v>49</v>
      </c>
      <c r="G1443" s="23">
        <v>45096</v>
      </c>
      <c r="H1443" s="24" t="s">
        <v>4280</v>
      </c>
      <c r="J1443" s="28" t="s">
        <v>51</v>
      </c>
      <c r="L1443" s="24" t="s">
        <v>4281</v>
      </c>
      <c r="M1443" s="1" t="str">
        <f>"110106199501280312"</f>
        <v>110106199501280312</v>
      </c>
      <c r="N1443" s="24" t="s">
        <v>4281</v>
      </c>
      <c r="O1443" s="1" t="str">
        <f>"110106199501280312"</f>
        <v>110106199501280312</v>
      </c>
      <c r="P1443" s="23" t="s">
        <v>4282</v>
      </c>
      <c r="Q1443" s="23">
        <v>45097</v>
      </c>
      <c r="R1443" s="32">
        <v>45463</v>
      </c>
      <c r="V1443" s="33">
        <v>200</v>
      </c>
      <c r="W1443" s="28">
        <v>64.29</v>
      </c>
      <c r="X1443" s="34" t="s">
        <v>54</v>
      </c>
      <c r="Y1443" s="33">
        <v>128.58</v>
      </c>
      <c r="AC1443" s="28">
        <v>64.29</v>
      </c>
      <c r="AD1443" s="34" t="s">
        <v>54</v>
      </c>
      <c r="AE1443" s="33">
        <v>128.58</v>
      </c>
      <c r="AN1443" s="7" t="s">
        <v>54</v>
      </c>
      <c r="AO1443" s="7" t="s">
        <v>55</v>
      </c>
      <c r="AP1443" s="7" t="s">
        <v>56</v>
      </c>
      <c r="AT1443" s="47" t="s">
        <v>57</v>
      </c>
      <c r="AU1443" s="47" t="s">
        <v>57</v>
      </c>
    </row>
    <row r="1444" spans="1:47">
      <c r="A1444" s="4" t="s">
        <v>48</v>
      </c>
      <c r="C1444" s="21"/>
      <c r="D1444" s="22" t="s">
        <v>49</v>
      </c>
      <c r="G1444" s="23">
        <v>45098</v>
      </c>
      <c r="H1444" s="24" t="s">
        <v>4283</v>
      </c>
      <c r="J1444" s="28" t="s">
        <v>51</v>
      </c>
      <c r="L1444" s="24" t="s">
        <v>4284</v>
      </c>
      <c r="M1444" s="1" t="str">
        <f>"412728199210274936"</f>
        <v>412728199210274936</v>
      </c>
      <c r="N1444" s="24" t="s">
        <v>4284</v>
      </c>
      <c r="O1444" s="1" t="str">
        <f>"412728199210274936"</f>
        <v>412728199210274936</v>
      </c>
      <c r="P1444" s="23" t="s">
        <v>4285</v>
      </c>
      <c r="Q1444" s="23">
        <v>45099</v>
      </c>
      <c r="R1444" s="32">
        <v>45465</v>
      </c>
      <c r="V1444" s="33">
        <v>200</v>
      </c>
      <c r="W1444" s="28">
        <v>64.29</v>
      </c>
      <c r="X1444" s="34" t="s">
        <v>54</v>
      </c>
      <c r="Y1444" s="33">
        <v>128.58</v>
      </c>
      <c r="AC1444" s="28">
        <v>64.29</v>
      </c>
      <c r="AD1444" s="34" t="s">
        <v>54</v>
      </c>
      <c r="AE1444" s="33">
        <v>128.58</v>
      </c>
      <c r="AN1444" s="7" t="s">
        <v>54</v>
      </c>
      <c r="AO1444" s="7" t="s">
        <v>55</v>
      </c>
      <c r="AP1444" s="7" t="s">
        <v>56</v>
      </c>
      <c r="AT1444" s="47" t="s">
        <v>57</v>
      </c>
      <c r="AU1444" s="47" t="s">
        <v>57</v>
      </c>
    </row>
    <row r="1445" spans="1:47">
      <c r="A1445" s="4" t="s">
        <v>48</v>
      </c>
      <c r="C1445" s="21"/>
      <c r="D1445" s="22" t="s">
        <v>49</v>
      </c>
      <c r="G1445" s="23">
        <v>45098</v>
      </c>
      <c r="H1445" s="24" t="s">
        <v>4286</v>
      </c>
      <c r="J1445" s="28" t="s">
        <v>51</v>
      </c>
      <c r="L1445" s="24" t="s">
        <v>4287</v>
      </c>
      <c r="M1445" s="1" t="str">
        <f>"132825200001042033"</f>
        <v>132825200001042033</v>
      </c>
      <c r="N1445" s="24" t="s">
        <v>4287</v>
      </c>
      <c r="O1445" s="1" t="str">
        <f>"132825200001042033"</f>
        <v>132825200001042033</v>
      </c>
      <c r="P1445" s="23" t="s">
        <v>4288</v>
      </c>
      <c r="Q1445" s="23">
        <v>45160</v>
      </c>
      <c r="R1445" s="32">
        <v>45526</v>
      </c>
      <c r="V1445" s="33">
        <v>200</v>
      </c>
      <c r="W1445" s="28">
        <v>64.29</v>
      </c>
      <c r="X1445" s="34" t="s">
        <v>54</v>
      </c>
      <c r="Y1445" s="33">
        <v>128.58</v>
      </c>
      <c r="AC1445" s="28">
        <v>64.29</v>
      </c>
      <c r="AD1445" s="34" t="s">
        <v>54</v>
      </c>
      <c r="AE1445" s="33">
        <v>128.58</v>
      </c>
      <c r="AN1445" s="7" t="s">
        <v>54</v>
      </c>
      <c r="AO1445" s="7" t="s">
        <v>55</v>
      </c>
      <c r="AP1445" s="7" t="s">
        <v>56</v>
      </c>
      <c r="AT1445" s="47" t="s">
        <v>57</v>
      </c>
      <c r="AU1445" s="47" t="s">
        <v>57</v>
      </c>
    </row>
    <row r="1446" spans="1:47">
      <c r="A1446" s="4" t="s">
        <v>48</v>
      </c>
      <c r="C1446" s="21"/>
      <c r="D1446" s="22" t="s">
        <v>49</v>
      </c>
      <c r="G1446" s="23">
        <v>45084</v>
      </c>
      <c r="H1446" s="24" t="s">
        <v>4289</v>
      </c>
      <c r="J1446" s="28" t="s">
        <v>51</v>
      </c>
      <c r="L1446" s="24" t="s">
        <v>4290</v>
      </c>
      <c r="M1446" s="1" t="str">
        <f>"13282119541229827X"</f>
        <v>13282119541229827X</v>
      </c>
      <c r="N1446" s="24" t="s">
        <v>4290</v>
      </c>
      <c r="O1446" s="1" t="str">
        <f>"13282119541229827X"</f>
        <v>13282119541229827X</v>
      </c>
      <c r="P1446" s="23" t="s">
        <v>4279</v>
      </c>
      <c r="Q1446" s="23">
        <v>45085</v>
      </c>
      <c r="R1446" s="32">
        <v>45451</v>
      </c>
      <c r="V1446" s="33">
        <v>50</v>
      </c>
      <c r="W1446" s="28">
        <v>64.29</v>
      </c>
      <c r="X1446" s="34" t="s">
        <v>54</v>
      </c>
      <c r="Y1446" s="33">
        <v>32.15</v>
      </c>
      <c r="AC1446" s="28">
        <v>64.29</v>
      </c>
      <c r="AD1446" s="34" t="s">
        <v>54</v>
      </c>
      <c r="AE1446" s="33">
        <v>32.15</v>
      </c>
      <c r="AN1446" s="7" t="s">
        <v>54</v>
      </c>
      <c r="AO1446" s="7" t="s">
        <v>55</v>
      </c>
      <c r="AP1446" s="7" t="s">
        <v>56</v>
      </c>
      <c r="AT1446" s="47" t="s">
        <v>57</v>
      </c>
      <c r="AU1446" s="47" t="s">
        <v>57</v>
      </c>
    </row>
    <row r="1447" spans="1:47">
      <c r="A1447" s="4" t="s">
        <v>48</v>
      </c>
      <c r="C1447" s="21"/>
      <c r="D1447" s="22" t="s">
        <v>49</v>
      </c>
      <c r="G1447" s="23">
        <v>45083</v>
      </c>
      <c r="H1447" s="24" t="s">
        <v>4291</v>
      </c>
      <c r="J1447" s="28" t="s">
        <v>51</v>
      </c>
      <c r="L1447" s="24" t="s">
        <v>201</v>
      </c>
      <c r="M1447" s="1" t="str">
        <f>"150429198701203622"</f>
        <v>150429198701203622</v>
      </c>
      <c r="N1447" s="24" t="s">
        <v>201</v>
      </c>
      <c r="O1447" s="1" t="str">
        <f>"150429198701203622"</f>
        <v>150429198701203622</v>
      </c>
      <c r="P1447" s="23" t="s">
        <v>4292</v>
      </c>
      <c r="Q1447" s="23">
        <v>45084</v>
      </c>
      <c r="R1447" s="32">
        <v>45450</v>
      </c>
      <c r="V1447" s="33">
        <v>50</v>
      </c>
      <c r="W1447" s="28">
        <v>64.29</v>
      </c>
      <c r="X1447" s="34" t="s">
        <v>54</v>
      </c>
      <c r="Y1447" s="33">
        <v>32.15</v>
      </c>
      <c r="AC1447" s="28">
        <v>64.29</v>
      </c>
      <c r="AD1447" s="34" t="s">
        <v>54</v>
      </c>
      <c r="AE1447" s="33">
        <v>32.15</v>
      </c>
      <c r="AN1447" s="7" t="s">
        <v>54</v>
      </c>
      <c r="AO1447" s="7" t="s">
        <v>55</v>
      </c>
      <c r="AP1447" s="7" t="s">
        <v>56</v>
      </c>
      <c r="AT1447" s="47" t="s">
        <v>57</v>
      </c>
      <c r="AU1447" s="47" t="s">
        <v>57</v>
      </c>
    </row>
    <row r="1448" spans="1:47">
      <c r="A1448" s="4" t="s">
        <v>48</v>
      </c>
      <c r="C1448" s="21"/>
      <c r="D1448" s="22" t="s">
        <v>49</v>
      </c>
      <c r="G1448" s="23">
        <v>45093</v>
      </c>
      <c r="H1448" s="24" t="s">
        <v>4293</v>
      </c>
      <c r="J1448" s="28" t="s">
        <v>51</v>
      </c>
      <c r="L1448" s="24" t="s">
        <v>4294</v>
      </c>
      <c r="M1448" s="1" t="str">
        <f>"342101196510212011"</f>
        <v>342101196510212011</v>
      </c>
      <c r="N1448" s="24" t="s">
        <v>4294</v>
      </c>
      <c r="O1448" s="1" t="str">
        <f>"342101196510212011"</f>
        <v>342101196510212011</v>
      </c>
      <c r="P1448" s="23" t="s">
        <v>4295</v>
      </c>
      <c r="Q1448" s="23">
        <v>45291</v>
      </c>
      <c r="R1448" s="32">
        <v>45657</v>
      </c>
      <c r="V1448" s="33">
        <v>100</v>
      </c>
      <c r="W1448" s="28">
        <v>64.29</v>
      </c>
      <c r="X1448" s="34" t="s">
        <v>54</v>
      </c>
      <c r="Y1448" s="33">
        <v>64.29</v>
      </c>
      <c r="AC1448" s="28">
        <v>64.29</v>
      </c>
      <c r="AD1448" s="34" t="s">
        <v>54</v>
      </c>
      <c r="AE1448" s="33">
        <v>64.29</v>
      </c>
      <c r="AN1448" s="7" t="s">
        <v>54</v>
      </c>
      <c r="AO1448" s="7" t="s">
        <v>55</v>
      </c>
      <c r="AP1448" s="7" t="s">
        <v>56</v>
      </c>
      <c r="AT1448" s="47" t="s">
        <v>57</v>
      </c>
      <c r="AU1448" s="47" t="s">
        <v>57</v>
      </c>
    </row>
    <row r="1449" spans="1:47">
      <c r="A1449" s="4" t="s">
        <v>48</v>
      </c>
      <c r="C1449" s="21"/>
      <c r="D1449" s="22" t="s">
        <v>49</v>
      </c>
      <c r="G1449" s="23">
        <v>45093</v>
      </c>
      <c r="H1449" s="24" t="s">
        <v>4296</v>
      </c>
      <c r="J1449" s="28" t="s">
        <v>51</v>
      </c>
      <c r="L1449" s="24" t="s">
        <v>4297</v>
      </c>
      <c r="M1449" s="1" t="str">
        <f>"131082197710035811"</f>
        <v>131082197710035811</v>
      </c>
      <c r="N1449" s="24" t="s">
        <v>4297</v>
      </c>
      <c r="O1449" s="1" t="str">
        <f>"131082197710035811"</f>
        <v>131082197710035811</v>
      </c>
      <c r="P1449" s="23" t="s">
        <v>4298</v>
      </c>
      <c r="Q1449" s="23">
        <v>45094</v>
      </c>
      <c r="R1449" s="32">
        <v>45460</v>
      </c>
      <c r="V1449" s="33">
        <v>100</v>
      </c>
      <c r="W1449" s="28">
        <v>64.29</v>
      </c>
      <c r="X1449" s="34" t="s">
        <v>54</v>
      </c>
      <c r="Y1449" s="33">
        <v>64.29</v>
      </c>
      <c r="AC1449" s="28">
        <v>64.29</v>
      </c>
      <c r="AD1449" s="34" t="s">
        <v>54</v>
      </c>
      <c r="AE1449" s="33">
        <v>64.29</v>
      </c>
      <c r="AN1449" s="7" t="s">
        <v>54</v>
      </c>
      <c r="AO1449" s="7" t="s">
        <v>55</v>
      </c>
      <c r="AP1449" s="7" t="s">
        <v>56</v>
      </c>
      <c r="AT1449" s="47" t="s">
        <v>57</v>
      </c>
      <c r="AU1449" s="47" t="s">
        <v>57</v>
      </c>
    </row>
    <row r="1450" spans="1:47">
      <c r="A1450" s="4" t="s">
        <v>48</v>
      </c>
      <c r="C1450" s="21"/>
      <c r="D1450" s="22" t="s">
        <v>49</v>
      </c>
      <c r="G1450" s="23">
        <v>45094</v>
      </c>
      <c r="H1450" s="24" t="s">
        <v>4299</v>
      </c>
      <c r="J1450" s="28" t="s">
        <v>51</v>
      </c>
      <c r="L1450" s="24" t="s">
        <v>4300</v>
      </c>
      <c r="M1450" s="1" t="str">
        <f>"34120219761226001X"</f>
        <v>34120219761226001X</v>
      </c>
      <c r="N1450" s="24" t="s">
        <v>4300</v>
      </c>
      <c r="O1450" s="1" t="str">
        <f>"34120219761226001X"</f>
        <v>34120219761226001X</v>
      </c>
      <c r="P1450" s="23" t="s">
        <v>4301</v>
      </c>
      <c r="Q1450" s="23">
        <v>45095</v>
      </c>
      <c r="R1450" s="32">
        <v>45461</v>
      </c>
      <c r="V1450" s="33">
        <v>100</v>
      </c>
      <c r="W1450" s="28">
        <v>64.29</v>
      </c>
      <c r="X1450" s="34" t="s">
        <v>54</v>
      </c>
      <c r="Y1450" s="33">
        <v>64.29</v>
      </c>
      <c r="AC1450" s="28">
        <v>64.29</v>
      </c>
      <c r="AD1450" s="34" t="s">
        <v>54</v>
      </c>
      <c r="AE1450" s="33">
        <v>64.29</v>
      </c>
      <c r="AN1450" s="7" t="s">
        <v>54</v>
      </c>
      <c r="AO1450" s="7" t="s">
        <v>55</v>
      </c>
      <c r="AP1450" s="7" t="s">
        <v>56</v>
      </c>
      <c r="AT1450" s="47" t="s">
        <v>57</v>
      </c>
      <c r="AU1450" s="47" t="s">
        <v>57</v>
      </c>
    </row>
    <row r="1451" spans="1:47">
      <c r="A1451" s="4" t="s">
        <v>48</v>
      </c>
      <c r="C1451" s="21"/>
      <c r="D1451" s="22" t="s">
        <v>49</v>
      </c>
      <c r="G1451" s="23">
        <v>45093</v>
      </c>
      <c r="H1451" s="24" t="s">
        <v>4302</v>
      </c>
      <c r="J1451" s="28" t="s">
        <v>51</v>
      </c>
      <c r="L1451" s="24" t="s">
        <v>4303</v>
      </c>
      <c r="M1451" s="1" t="str">
        <f>"342101195207031010"</f>
        <v>342101195207031010</v>
      </c>
      <c r="N1451" s="24" t="s">
        <v>4303</v>
      </c>
      <c r="O1451" s="1" t="str">
        <f>"342101195207031010"</f>
        <v>342101195207031010</v>
      </c>
      <c r="P1451" s="23" t="s">
        <v>4304</v>
      </c>
      <c r="Q1451" s="23">
        <v>45106</v>
      </c>
      <c r="R1451" s="32">
        <v>45472</v>
      </c>
      <c r="V1451" s="33">
        <v>100</v>
      </c>
      <c r="W1451" s="28">
        <v>64.29</v>
      </c>
      <c r="X1451" s="34" t="s">
        <v>54</v>
      </c>
      <c r="Y1451" s="33">
        <v>64.29</v>
      </c>
      <c r="AC1451" s="28">
        <v>64.29</v>
      </c>
      <c r="AD1451" s="34" t="s">
        <v>54</v>
      </c>
      <c r="AE1451" s="33">
        <v>64.29</v>
      </c>
      <c r="AN1451" s="7" t="s">
        <v>54</v>
      </c>
      <c r="AO1451" s="7" t="s">
        <v>55</v>
      </c>
      <c r="AP1451" s="7" t="s">
        <v>56</v>
      </c>
      <c r="AT1451" s="47" t="s">
        <v>57</v>
      </c>
      <c r="AU1451" s="47" t="s">
        <v>57</v>
      </c>
    </row>
    <row r="1452" spans="1:47">
      <c r="A1452" s="4" t="s">
        <v>48</v>
      </c>
      <c r="C1452" s="21"/>
      <c r="D1452" s="22" t="s">
        <v>49</v>
      </c>
      <c r="G1452" s="23">
        <v>45093</v>
      </c>
      <c r="H1452" s="24" t="s">
        <v>4305</v>
      </c>
      <c r="J1452" s="28" t="s">
        <v>51</v>
      </c>
      <c r="L1452" s="24" t="s">
        <v>4306</v>
      </c>
      <c r="M1452" s="1" t="str">
        <f>"131082198707251024"</f>
        <v>131082198707251024</v>
      </c>
      <c r="N1452" s="24" t="s">
        <v>4306</v>
      </c>
      <c r="O1452" s="1" t="str">
        <f>"131082198707251024"</f>
        <v>131082198707251024</v>
      </c>
      <c r="P1452" s="23" t="s">
        <v>4307</v>
      </c>
      <c r="Q1452" s="23">
        <v>45094</v>
      </c>
      <c r="R1452" s="32">
        <v>45460</v>
      </c>
      <c r="V1452" s="33">
        <v>100</v>
      </c>
      <c r="W1452" s="28">
        <v>64.29</v>
      </c>
      <c r="X1452" s="34" t="s">
        <v>54</v>
      </c>
      <c r="Y1452" s="33">
        <v>64.29</v>
      </c>
      <c r="AC1452" s="28">
        <v>64.29</v>
      </c>
      <c r="AD1452" s="34" t="s">
        <v>54</v>
      </c>
      <c r="AE1452" s="33">
        <v>64.29</v>
      </c>
      <c r="AN1452" s="7" t="s">
        <v>54</v>
      </c>
      <c r="AO1452" s="7" t="s">
        <v>55</v>
      </c>
      <c r="AP1452" s="7" t="s">
        <v>56</v>
      </c>
      <c r="AT1452" s="47" t="s">
        <v>57</v>
      </c>
      <c r="AU1452" s="47" t="s">
        <v>57</v>
      </c>
    </row>
    <row r="1453" spans="1:47">
      <c r="A1453" s="4" t="s">
        <v>48</v>
      </c>
      <c r="C1453" s="21"/>
      <c r="D1453" s="22" t="s">
        <v>49</v>
      </c>
      <c r="G1453" s="23">
        <v>45084</v>
      </c>
      <c r="H1453" s="24" t="s">
        <v>4308</v>
      </c>
      <c r="J1453" s="28" t="s">
        <v>51</v>
      </c>
      <c r="L1453" s="24" t="s">
        <v>2886</v>
      </c>
      <c r="M1453" s="1" t="str">
        <f>"411423198710180529"</f>
        <v>411423198710180529</v>
      </c>
      <c r="N1453" s="24" t="s">
        <v>2886</v>
      </c>
      <c r="O1453" s="1" t="str">
        <f>"411423198710180529"</f>
        <v>411423198710180529</v>
      </c>
      <c r="P1453" s="23" t="s">
        <v>4309</v>
      </c>
      <c r="Q1453" s="23">
        <v>45085</v>
      </c>
      <c r="R1453" s="32">
        <v>45451</v>
      </c>
      <c r="V1453" s="33">
        <v>100</v>
      </c>
      <c r="W1453" s="28">
        <v>64.29</v>
      </c>
      <c r="X1453" s="34" t="s">
        <v>54</v>
      </c>
      <c r="Y1453" s="33">
        <v>64.29</v>
      </c>
      <c r="AC1453" s="28">
        <v>64.29</v>
      </c>
      <c r="AD1453" s="34" t="s">
        <v>54</v>
      </c>
      <c r="AE1453" s="33">
        <v>64.29</v>
      </c>
      <c r="AN1453" s="7" t="s">
        <v>54</v>
      </c>
      <c r="AO1453" s="7" t="s">
        <v>55</v>
      </c>
      <c r="AP1453" s="7" t="s">
        <v>56</v>
      </c>
      <c r="AT1453" s="47" t="s">
        <v>57</v>
      </c>
      <c r="AU1453" s="47" t="s">
        <v>57</v>
      </c>
    </row>
    <row r="1454" spans="1:47">
      <c r="A1454" s="4" t="s">
        <v>48</v>
      </c>
      <c r="C1454" s="21"/>
      <c r="D1454" s="22" t="s">
        <v>49</v>
      </c>
      <c r="G1454" s="23">
        <v>45084</v>
      </c>
      <c r="H1454" s="24" t="s">
        <v>4310</v>
      </c>
      <c r="J1454" s="28" t="s">
        <v>51</v>
      </c>
      <c r="L1454" s="24" t="s">
        <v>4311</v>
      </c>
      <c r="M1454" s="1" t="str">
        <f>"341204199008220814"</f>
        <v>341204199008220814</v>
      </c>
      <c r="N1454" s="24" t="s">
        <v>4311</v>
      </c>
      <c r="O1454" s="1" t="str">
        <f>"341204199008220814"</f>
        <v>341204199008220814</v>
      </c>
      <c r="P1454" s="23" t="s">
        <v>4312</v>
      </c>
      <c r="Q1454" s="23">
        <v>45108</v>
      </c>
      <c r="R1454" s="32">
        <v>45474</v>
      </c>
      <c r="V1454" s="33">
        <v>100</v>
      </c>
      <c r="W1454" s="28">
        <v>64.29</v>
      </c>
      <c r="X1454" s="34" t="s">
        <v>54</v>
      </c>
      <c r="Y1454" s="33">
        <v>64.29</v>
      </c>
      <c r="AC1454" s="28">
        <v>64.29</v>
      </c>
      <c r="AD1454" s="34" t="s">
        <v>54</v>
      </c>
      <c r="AE1454" s="33">
        <v>64.29</v>
      </c>
      <c r="AN1454" s="7" t="s">
        <v>54</v>
      </c>
      <c r="AO1454" s="7" t="s">
        <v>55</v>
      </c>
      <c r="AP1454" s="7" t="s">
        <v>56</v>
      </c>
      <c r="AT1454" s="47" t="s">
        <v>57</v>
      </c>
      <c r="AU1454" s="47" t="s">
        <v>57</v>
      </c>
    </row>
    <row r="1455" spans="1:47">
      <c r="A1455" s="4" t="s">
        <v>48</v>
      </c>
      <c r="C1455" s="21"/>
      <c r="D1455" s="22" t="s">
        <v>49</v>
      </c>
      <c r="G1455" s="23">
        <v>45085</v>
      </c>
      <c r="H1455" s="24" t="s">
        <v>4313</v>
      </c>
      <c r="J1455" s="28" t="s">
        <v>51</v>
      </c>
      <c r="L1455" s="24" t="s">
        <v>4314</v>
      </c>
      <c r="M1455" s="1" t="str">
        <f>"342222198110120181"</f>
        <v>342222198110120181</v>
      </c>
      <c r="N1455" s="24" t="s">
        <v>4314</v>
      </c>
      <c r="O1455" s="1" t="str">
        <f>"342222198110120181"</f>
        <v>342222198110120181</v>
      </c>
      <c r="P1455" s="23" t="s">
        <v>4315</v>
      </c>
      <c r="Q1455" s="23">
        <v>45208</v>
      </c>
      <c r="R1455" s="32">
        <v>45574</v>
      </c>
      <c r="V1455" s="33">
        <v>100</v>
      </c>
      <c r="W1455" s="28">
        <v>64.29</v>
      </c>
      <c r="X1455" s="34" t="s">
        <v>54</v>
      </c>
      <c r="Y1455" s="33">
        <v>64.29</v>
      </c>
      <c r="AC1455" s="28">
        <v>64.29</v>
      </c>
      <c r="AD1455" s="34" t="s">
        <v>54</v>
      </c>
      <c r="AE1455" s="33">
        <v>64.29</v>
      </c>
      <c r="AN1455" s="7" t="s">
        <v>54</v>
      </c>
      <c r="AO1455" s="7" t="s">
        <v>55</v>
      </c>
      <c r="AP1455" s="7" t="s">
        <v>56</v>
      </c>
      <c r="AT1455" s="47" t="s">
        <v>57</v>
      </c>
      <c r="AU1455" s="47" t="s">
        <v>57</v>
      </c>
    </row>
    <row r="1456" spans="1:47">
      <c r="A1456" s="4" t="s">
        <v>48</v>
      </c>
      <c r="C1456" s="21"/>
      <c r="D1456" s="22" t="s">
        <v>49</v>
      </c>
      <c r="G1456" s="23">
        <v>45098</v>
      </c>
      <c r="H1456" s="24" t="s">
        <v>4316</v>
      </c>
      <c r="J1456" s="28" t="s">
        <v>51</v>
      </c>
      <c r="L1456" s="24" t="s">
        <v>4317</v>
      </c>
      <c r="M1456" s="1" t="str">
        <f>"130826199402106017"</f>
        <v>130826199402106017</v>
      </c>
      <c r="N1456" s="24" t="s">
        <v>4317</v>
      </c>
      <c r="O1456" s="1" t="str">
        <f>"130826199402106017"</f>
        <v>130826199402106017</v>
      </c>
      <c r="P1456" s="23" t="s">
        <v>4318</v>
      </c>
      <c r="Q1456" s="23">
        <v>45099</v>
      </c>
      <c r="R1456" s="32">
        <v>45465</v>
      </c>
      <c r="V1456" s="33">
        <v>200</v>
      </c>
      <c r="W1456" s="28">
        <v>64.29</v>
      </c>
      <c r="X1456" s="34" t="s">
        <v>54</v>
      </c>
      <c r="Y1456" s="33">
        <v>128.58</v>
      </c>
      <c r="AC1456" s="28">
        <v>64.29</v>
      </c>
      <c r="AD1456" s="34" t="s">
        <v>54</v>
      </c>
      <c r="AE1456" s="33">
        <v>128.58</v>
      </c>
      <c r="AN1456" s="7" t="s">
        <v>54</v>
      </c>
      <c r="AO1456" s="7" t="s">
        <v>55</v>
      </c>
      <c r="AP1456" s="7" t="s">
        <v>56</v>
      </c>
      <c r="AT1456" s="47" t="s">
        <v>57</v>
      </c>
      <c r="AU1456" s="47" t="s">
        <v>57</v>
      </c>
    </row>
    <row r="1457" spans="1:47">
      <c r="A1457" s="4" t="s">
        <v>48</v>
      </c>
      <c r="C1457" s="21"/>
      <c r="D1457" s="22" t="s">
        <v>49</v>
      </c>
      <c r="G1457" s="23">
        <v>45098</v>
      </c>
      <c r="H1457" s="24" t="s">
        <v>4319</v>
      </c>
      <c r="J1457" s="28" t="s">
        <v>51</v>
      </c>
      <c r="L1457" s="24" t="s">
        <v>4320</v>
      </c>
      <c r="M1457" s="1" t="str">
        <f>"131082198610105821"</f>
        <v>131082198610105821</v>
      </c>
      <c r="N1457" s="24" t="s">
        <v>4320</v>
      </c>
      <c r="O1457" s="1" t="str">
        <f>"131082198610105821"</f>
        <v>131082198610105821</v>
      </c>
      <c r="P1457" s="23" t="s">
        <v>4321</v>
      </c>
      <c r="Q1457" s="23">
        <v>45280</v>
      </c>
      <c r="R1457" s="32">
        <v>45646</v>
      </c>
      <c r="V1457" s="33">
        <v>200</v>
      </c>
      <c r="W1457" s="28">
        <v>64.29</v>
      </c>
      <c r="X1457" s="34" t="s">
        <v>54</v>
      </c>
      <c r="Y1457" s="33">
        <v>128.58</v>
      </c>
      <c r="AC1457" s="28">
        <v>64.29</v>
      </c>
      <c r="AD1457" s="34" t="s">
        <v>54</v>
      </c>
      <c r="AE1457" s="33">
        <v>128.58</v>
      </c>
      <c r="AN1457" s="7" t="s">
        <v>54</v>
      </c>
      <c r="AO1457" s="7" t="s">
        <v>55</v>
      </c>
      <c r="AP1457" s="7" t="s">
        <v>56</v>
      </c>
      <c r="AT1457" s="47" t="s">
        <v>57</v>
      </c>
      <c r="AU1457" s="47" t="s">
        <v>57</v>
      </c>
    </row>
    <row r="1458" spans="1:47">
      <c r="A1458" s="4" t="s">
        <v>48</v>
      </c>
      <c r="C1458" s="21"/>
      <c r="D1458" s="22" t="s">
        <v>49</v>
      </c>
      <c r="G1458" s="23">
        <v>45093</v>
      </c>
      <c r="H1458" s="24" t="s">
        <v>4322</v>
      </c>
      <c r="J1458" s="28" t="s">
        <v>51</v>
      </c>
      <c r="L1458" s="24" t="s">
        <v>4323</v>
      </c>
      <c r="M1458" s="1" t="str">
        <f>"230227198610292320"</f>
        <v>230227198610292320</v>
      </c>
      <c r="N1458" s="24" t="s">
        <v>4323</v>
      </c>
      <c r="O1458" s="1" t="str">
        <f>"230227198610292320"</f>
        <v>230227198610292320</v>
      </c>
      <c r="P1458" s="23" t="s">
        <v>4324</v>
      </c>
      <c r="Q1458" s="23">
        <v>45291</v>
      </c>
      <c r="R1458" s="32">
        <v>45657</v>
      </c>
      <c r="V1458" s="33">
        <v>200</v>
      </c>
      <c r="W1458" s="28">
        <v>64.29</v>
      </c>
      <c r="X1458" s="34" t="s">
        <v>54</v>
      </c>
      <c r="Y1458" s="33">
        <v>128.58</v>
      </c>
      <c r="AC1458" s="28">
        <v>64.29</v>
      </c>
      <c r="AD1458" s="34" t="s">
        <v>54</v>
      </c>
      <c r="AE1458" s="33">
        <v>128.58</v>
      </c>
      <c r="AN1458" s="7" t="s">
        <v>54</v>
      </c>
      <c r="AO1458" s="7" t="s">
        <v>55</v>
      </c>
      <c r="AP1458" s="7" t="s">
        <v>56</v>
      </c>
      <c r="AT1458" s="47" t="s">
        <v>57</v>
      </c>
      <c r="AU1458" s="47" t="s">
        <v>57</v>
      </c>
    </row>
    <row r="1459" spans="1:47">
      <c r="A1459" s="4" t="s">
        <v>48</v>
      </c>
      <c r="C1459" s="21"/>
      <c r="D1459" s="22" t="s">
        <v>49</v>
      </c>
      <c r="G1459" s="23">
        <v>45093</v>
      </c>
      <c r="H1459" s="24" t="s">
        <v>4325</v>
      </c>
      <c r="J1459" s="28" t="s">
        <v>51</v>
      </c>
      <c r="L1459" s="24" t="s">
        <v>4326</v>
      </c>
      <c r="M1459" s="1" t="str">
        <f>"341204199102250614"</f>
        <v>341204199102250614</v>
      </c>
      <c r="N1459" s="24" t="s">
        <v>4326</v>
      </c>
      <c r="O1459" s="1" t="str">
        <f>"341204199102250614"</f>
        <v>341204199102250614</v>
      </c>
      <c r="P1459" s="23" t="s">
        <v>4327</v>
      </c>
      <c r="Q1459" s="23">
        <v>45094</v>
      </c>
      <c r="R1459" s="32">
        <v>45460</v>
      </c>
      <c r="V1459" s="33">
        <v>200</v>
      </c>
      <c r="W1459" s="28">
        <v>64.29</v>
      </c>
      <c r="X1459" s="34" t="s">
        <v>54</v>
      </c>
      <c r="Y1459" s="33">
        <v>128.58</v>
      </c>
      <c r="AC1459" s="28">
        <v>64.29</v>
      </c>
      <c r="AD1459" s="34" t="s">
        <v>54</v>
      </c>
      <c r="AE1459" s="33">
        <v>128.58</v>
      </c>
      <c r="AN1459" s="7" t="s">
        <v>54</v>
      </c>
      <c r="AO1459" s="7" t="s">
        <v>55</v>
      </c>
      <c r="AP1459" s="7" t="s">
        <v>56</v>
      </c>
      <c r="AT1459" s="47" t="s">
        <v>57</v>
      </c>
      <c r="AU1459" s="47" t="s">
        <v>57</v>
      </c>
    </row>
    <row r="1460" spans="1:47">
      <c r="A1460" s="4" t="s">
        <v>48</v>
      </c>
      <c r="C1460" s="21"/>
      <c r="D1460" s="22" t="s">
        <v>49</v>
      </c>
      <c r="G1460" s="23">
        <v>45082</v>
      </c>
      <c r="H1460" s="24" t="s">
        <v>4328</v>
      </c>
      <c r="J1460" s="28" t="s">
        <v>51</v>
      </c>
      <c r="L1460" s="24" t="s">
        <v>4329</v>
      </c>
      <c r="M1460" s="1" t="str">
        <f>"341204198405251441"</f>
        <v>341204198405251441</v>
      </c>
      <c r="N1460" s="24" t="s">
        <v>4329</v>
      </c>
      <c r="O1460" s="1" t="str">
        <f>"341204198405251441"</f>
        <v>341204198405251441</v>
      </c>
      <c r="P1460" s="23" t="s">
        <v>4330</v>
      </c>
      <c r="Q1460" s="23">
        <v>45083</v>
      </c>
      <c r="R1460" s="32">
        <v>45449</v>
      </c>
      <c r="V1460" s="33">
        <v>50</v>
      </c>
      <c r="W1460" s="28">
        <v>64.29</v>
      </c>
      <c r="X1460" s="34" t="s">
        <v>54</v>
      </c>
      <c r="Y1460" s="33">
        <v>32.15</v>
      </c>
      <c r="AC1460" s="28">
        <v>64.29</v>
      </c>
      <c r="AD1460" s="34" t="s">
        <v>54</v>
      </c>
      <c r="AE1460" s="33">
        <v>32.15</v>
      </c>
      <c r="AN1460" s="7" t="s">
        <v>54</v>
      </c>
      <c r="AO1460" s="7" t="s">
        <v>55</v>
      </c>
      <c r="AP1460" s="7" t="s">
        <v>56</v>
      </c>
      <c r="AT1460" s="47" t="s">
        <v>57</v>
      </c>
      <c r="AU1460" s="47" t="s">
        <v>57</v>
      </c>
    </row>
    <row r="1461" spans="1:47">
      <c r="A1461" s="4" t="s">
        <v>48</v>
      </c>
      <c r="C1461" s="21"/>
      <c r="D1461" s="22" t="s">
        <v>49</v>
      </c>
      <c r="G1461" s="23">
        <v>45082</v>
      </c>
      <c r="H1461" s="24" t="s">
        <v>4331</v>
      </c>
      <c r="J1461" s="28" t="s">
        <v>51</v>
      </c>
      <c r="L1461" s="24" t="s">
        <v>3931</v>
      </c>
      <c r="M1461" s="1" t="str">
        <f>"341203198801200615"</f>
        <v>341203198801200615</v>
      </c>
      <c r="N1461" s="24" t="s">
        <v>3931</v>
      </c>
      <c r="O1461" s="1" t="str">
        <f>"341203198801200615"</f>
        <v>341203198801200615</v>
      </c>
      <c r="P1461" s="23" t="s">
        <v>4332</v>
      </c>
      <c r="Q1461" s="23">
        <v>45083</v>
      </c>
      <c r="R1461" s="32">
        <v>45449</v>
      </c>
      <c r="V1461" s="33">
        <v>50</v>
      </c>
      <c r="W1461" s="28">
        <v>64.29</v>
      </c>
      <c r="X1461" s="34" t="s">
        <v>54</v>
      </c>
      <c r="Y1461" s="33">
        <v>32.15</v>
      </c>
      <c r="AC1461" s="28">
        <v>64.29</v>
      </c>
      <c r="AD1461" s="34" t="s">
        <v>54</v>
      </c>
      <c r="AE1461" s="33">
        <v>32.15</v>
      </c>
      <c r="AN1461" s="7" t="s">
        <v>54</v>
      </c>
      <c r="AO1461" s="7" t="s">
        <v>55</v>
      </c>
      <c r="AP1461" s="7" t="s">
        <v>56</v>
      </c>
      <c r="AT1461" s="47" t="s">
        <v>57</v>
      </c>
      <c r="AU1461" s="47" t="s">
        <v>57</v>
      </c>
    </row>
    <row r="1462" spans="1:47">
      <c r="A1462" s="4" t="s">
        <v>48</v>
      </c>
      <c r="C1462" s="21"/>
      <c r="D1462" s="22" t="s">
        <v>49</v>
      </c>
      <c r="G1462" s="23">
        <v>45080</v>
      </c>
      <c r="H1462" s="24" t="s">
        <v>4333</v>
      </c>
      <c r="J1462" s="28" t="s">
        <v>51</v>
      </c>
      <c r="L1462" s="24" t="s">
        <v>4334</v>
      </c>
      <c r="M1462" s="1" t="str">
        <f>"132821194403190019"</f>
        <v>132821194403190019</v>
      </c>
      <c r="N1462" s="24" t="s">
        <v>4334</v>
      </c>
      <c r="O1462" s="1" t="str">
        <f>"132821194403190019"</f>
        <v>132821194403190019</v>
      </c>
      <c r="P1462" s="23" t="s">
        <v>4335</v>
      </c>
      <c r="Q1462" s="23">
        <v>45081</v>
      </c>
      <c r="R1462" s="32">
        <v>45447</v>
      </c>
      <c r="V1462" s="33">
        <v>50</v>
      </c>
      <c r="W1462" s="28">
        <v>64.29</v>
      </c>
      <c r="X1462" s="34" t="s">
        <v>54</v>
      </c>
      <c r="Y1462" s="33">
        <v>32.15</v>
      </c>
      <c r="AC1462" s="28">
        <v>64.29</v>
      </c>
      <c r="AD1462" s="34" t="s">
        <v>54</v>
      </c>
      <c r="AE1462" s="33">
        <v>32.15</v>
      </c>
      <c r="AN1462" s="7" t="s">
        <v>54</v>
      </c>
      <c r="AO1462" s="7" t="s">
        <v>55</v>
      </c>
      <c r="AP1462" s="7" t="s">
        <v>56</v>
      </c>
      <c r="AT1462" s="47" t="s">
        <v>57</v>
      </c>
      <c r="AU1462" s="47" t="s">
        <v>57</v>
      </c>
    </row>
    <row r="1463" spans="1:47">
      <c r="A1463" s="4" t="s">
        <v>48</v>
      </c>
      <c r="C1463" s="21"/>
      <c r="D1463" s="22" t="s">
        <v>49</v>
      </c>
      <c r="G1463" s="23">
        <v>45093</v>
      </c>
      <c r="H1463" s="24" t="s">
        <v>4336</v>
      </c>
      <c r="J1463" s="28" t="s">
        <v>51</v>
      </c>
      <c r="L1463" s="24" t="s">
        <v>4337</v>
      </c>
      <c r="M1463" s="1" t="str">
        <f>"132821196112118286"</f>
        <v>132821196112118286</v>
      </c>
      <c r="N1463" s="24" t="s">
        <v>4337</v>
      </c>
      <c r="O1463" s="1" t="str">
        <f>"132821196112118286"</f>
        <v>132821196112118286</v>
      </c>
      <c r="P1463" s="23" t="s">
        <v>4338</v>
      </c>
      <c r="Q1463" s="23">
        <v>45217</v>
      </c>
      <c r="R1463" s="32">
        <v>45583</v>
      </c>
      <c r="V1463" s="33">
        <v>100</v>
      </c>
      <c r="W1463" s="28">
        <v>64.29</v>
      </c>
      <c r="X1463" s="34" t="s">
        <v>54</v>
      </c>
      <c r="Y1463" s="33">
        <v>64.29</v>
      </c>
      <c r="AC1463" s="28">
        <v>64.29</v>
      </c>
      <c r="AD1463" s="34" t="s">
        <v>54</v>
      </c>
      <c r="AE1463" s="33">
        <v>64.29</v>
      </c>
      <c r="AN1463" s="7" t="s">
        <v>54</v>
      </c>
      <c r="AO1463" s="7" t="s">
        <v>55</v>
      </c>
      <c r="AP1463" s="7" t="s">
        <v>56</v>
      </c>
      <c r="AT1463" s="47" t="s">
        <v>57</v>
      </c>
      <c r="AU1463" s="47" t="s">
        <v>57</v>
      </c>
    </row>
    <row r="1464" spans="1:47">
      <c r="A1464" s="4" t="s">
        <v>48</v>
      </c>
      <c r="C1464" s="21"/>
      <c r="D1464" s="22" t="s">
        <v>49</v>
      </c>
      <c r="G1464" s="23">
        <v>45093</v>
      </c>
      <c r="H1464" s="24" t="s">
        <v>4339</v>
      </c>
      <c r="J1464" s="28" t="s">
        <v>51</v>
      </c>
      <c r="L1464" s="24" t="s">
        <v>4340</v>
      </c>
      <c r="M1464" s="1" t="str">
        <f>"110108198702016049"</f>
        <v>110108198702016049</v>
      </c>
      <c r="N1464" s="24" t="s">
        <v>4340</v>
      </c>
      <c r="O1464" s="1" t="str">
        <f>"110108198702016049"</f>
        <v>110108198702016049</v>
      </c>
      <c r="P1464" s="23" t="s">
        <v>4341</v>
      </c>
      <c r="Q1464" s="23">
        <v>45304</v>
      </c>
      <c r="R1464" s="32">
        <v>45670</v>
      </c>
      <c r="V1464" s="33">
        <v>100</v>
      </c>
      <c r="W1464" s="28">
        <v>64.29</v>
      </c>
      <c r="X1464" s="34" t="s">
        <v>54</v>
      </c>
      <c r="Y1464" s="33">
        <v>64.29</v>
      </c>
      <c r="AC1464" s="28">
        <v>64.29</v>
      </c>
      <c r="AD1464" s="34" t="s">
        <v>54</v>
      </c>
      <c r="AE1464" s="33">
        <v>64.29</v>
      </c>
      <c r="AN1464" s="7" t="s">
        <v>54</v>
      </c>
      <c r="AO1464" s="7" t="s">
        <v>55</v>
      </c>
      <c r="AP1464" s="7" t="s">
        <v>56</v>
      </c>
      <c r="AT1464" s="47" t="s">
        <v>57</v>
      </c>
      <c r="AU1464" s="47" t="s">
        <v>57</v>
      </c>
    </row>
    <row r="1465" spans="1:47">
      <c r="A1465" s="4" t="s">
        <v>48</v>
      </c>
      <c r="C1465" s="21"/>
      <c r="D1465" s="22" t="s">
        <v>49</v>
      </c>
      <c r="G1465" s="23">
        <v>45093</v>
      </c>
      <c r="H1465" s="24" t="s">
        <v>4342</v>
      </c>
      <c r="J1465" s="28" t="s">
        <v>51</v>
      </c>
      <c r="L1465" s="24" t="s">
        <v>4343</v>
      </c>
      <c r="M1465" s="1" t="str">
        <f>"341204198907080224"</f>
        <v>341204198907080224</v>
      </c>
      <c r="N1465" s="24" t="s">
        <v>4343</v>
      </c>
      <c r="O1465" s="1" t="str">
        <f>"341204198907080224"</f>
        <v>341204198907080224</v>
      </c>
      <c r="P1465" s="23" t="s">
        <v>4344</v>
      </c>
      <c r="Q1465" s="23">
        <v>45107</v>
      </c>
      <c r="R1465" s="32">
        <v>45473</v>
      </c>
      <c r="V1465" s="33">
        <v>100</v>
      </c>
      <c r="W1465" s="28">
        <v>64.29</v>
      </c>
      <c r="X1465" s="34" t="s">
        <v>54</v>
      </c>
      <c r="Y1465" s="33">
        <v>64.29</v>
      </c>
      <c r="AC1465" s="28">
        <v>64.29</v>
      </c>
      <c r="AD1465" s="34" t="s">
        <v>54</v>
      </c>
      <c r="AE1465" s="33">
        <v>64.29</v>
      </c>
      <c r="AN1465" s="7" t="s">
        <v>54</v>
      </c>
      <c r="AO1465" s="7" t="s">
        <v>55</v>
      </c>
      <c r="AP1465" s="7" t="s">
        <v>56</v>
      </c>
      <c r="AT1465" s="47" t="s">
        <v>57</v>
      </c>
      <c r="AU1465" s="47" t="s">
        <v>57</v>
      </c>
    </row>
    <row r="1466" spans="1:47">
      <c r="A1466" s="4" t="s">
        <v>48</v>
      </c>
      <c r="C1466" s="21"/>
      <c r="D1466" s="22" t="s">
        <v>49</v>
      </c>
      <c r="G1466" s="23">
        <v>45093</v>
      </c>
      <c r="H1466" s="24" t="s">
        <v>4345</v>
      </c>
      <c r="J1466" s="28" t="s">
        <v>51</v>
      </c>
      <c r="L1466" s="24" t="s">
        <v>4346</v>
      </c>
      <c r="M1466" s="1" t="str">
        <f>"131082197404150280"</f>
        <v>131082197404150280</v>
      </c>
      <c r="N1466" s="24" t="s">
        <v>4346</v>
      </c>
      <c r="O1466" s="1" t="str">
        <f>"131082197404150280"</f>
        <v>131082197404150280</v>
      </c>
      <c r="P1466" s="23" t="s">
        <v>4347</v>
      </c>
      <c r="Q1466" s="23">
        <v>45094</v>
      </c>
      <c r="R1466" s="32">
        <v>45460</v>
      </c>
      <c r="V1466" s="33">
        <v>100</v>
      </c>
      <c r="W1466" s="28">
        <v>64.29</v>
      </c>
      <c r="X1466" s="34" t="s">
        <v>54</v>
      </c>
      <c r="Y1466" s="33">
        <v>64.29</v>
      </c>
      <c r="AC1466" s="28">
        <v>64.29</v>
      </c>
      <c r="AD1466" s="34" t="s">
        <v>54</v>
      </c>
      <c r="AE1466" s="33">
        <v>64.29</v>
      </c>
      <c r="AN1466" s="7" t="s">
        <v>54</v>
      </c>
      <c r="AO1466" s="7" t="s">
        <v>55</v>
      </c>
      <c r="AP1466" s="7" t="s">
        <v>56</v>
      </c>
      <c r="AT1466" s="47" t="s">
        <v>57</v>
      </c>
      <c r="AU1466" s="47" t="s">
        <v>57</v>
      </c>
    </row>
    <row r="1467" spans="1:47">
      <c r="A1467" s="4" t="s">
        <v>48</v>
      </c>
      <c r="C1467" s="21"/>
      <c r="D1467" s="22" t="s">
        <v>49</v>
      </c>
      <c r="G1467" s="23">
        <v>45084</v>
      </c>
      <c r="H1467" s="24" t="s">
        <v>4348</v>
      </c>
      <c r="J1467" s="28" t="s">
        <v>51</v>
      </c>
      <c r="L1467" s="24" t="s">
        <v>4349</v>
      </c>
      <c r="M1467" s="1" t="str">
        <f>"110105196704287733"</f>
        <v>110105196704287733</v>
      </c>
      <c r="N1467" s="24" t="s">
        <v>4349</v>
      </c>
      <c r="O1467" s="1" t="str">
        <f>"110105196704287733"</f>
        <v>110105196704287733</v>
      </c>
      <c r="P1467" s="23" t="s">
        <v>4350</v>
      </c>
      <c r="Q1467" s="23">
        <v>45085</v>
      </c>
      <c r="R1467" s="32">
        <v>45451</v>
      </c>
      <c r="V1467" s="33">
        <v>100</v>
      </c>
      <c r="W1467" s="28">
        <v>64.29</v>
      </c>
      <c r="X1467" s="34" t="s">
        <v>54</v>
      </c>
      <c r="Y1467" s="33">
        <v>64.29</v>
      </c>
      <c r="AC1467" s="28">
        <v>64.29</v>
      </c>
      <c r="AD1467" s="34" t="s">
        <v>54</v>
      </c>
      <c r="AE1467" s="33">
        <v>64.29</v>
      </c>
      <c r="AN1467" s="7" t="s">
        <v>54</v>
      </c>
      <c r="AO1467" s="7" t="s">
        <v>55</v>
      </c>
      <c r="AP1467" s="7" t="s">
        <v>56</v>
      </c>
      <c r="AT1467" s="47" t="s">
        <v>57</v>
      </c>
      <c r="AU1467" s="47" t="s">
        <v>57</v>
      </c>
    </row>
    <row r="1468" spans="1:47">
      <c r="A1468" s="4" t="s">
        <v>48</v>
      </c>
      <c r="C1468" s="21"/>
      <c r="D1468" s="22" t="s">
        <v>49</v>
      </c>
      <c r="G1468" s="23">
        <v>45082</v>
      </c>
      <c r="H1468" s="24" t="s">
        <v>4351</v>
      </c>
      <c r="J1468" s="28" t="s">
        <v>51</v>
      </c>
      <c r="L1468" s="24" t="s">
        <v>4352</v>
      </c>
      <c r="M1468" s="1" t="str">
        <f>"131082198710205520"</f>
        <v>131082198710205520</v>
      </c>
      <c r="N1468" s="24" t="s">
        <v>4352</v>
      </c>
      <c r="O1468" s="1" t="str">
        <f>"131082198710205520"</f>
        <v>131082198710205520</v>
      </c>
      <c r="P1468" s="23" t="s">
        <v>4353</v>
      </c>
      <c r="Q1468" s="23">
        <v>45236</v>
      </c>
      <c r="R1468" s="32">
        <v>45602</v>
      </c>
      <c r="V1468" s="33">
        <v>100</v>
      </c>
      <c r="W1468" s="28">
        <v>64.29</v>
      </c>
      <c r="X1468" s="34" t="s">
        <v>54</v>
      </c>
      <c r="Y1468" s="33">
        <v>64.29</v>
      </c>
      <c r="AC1468" s="28">
        <v>64.29</v>
      </c>
      <c r="AD1468" s="34" t="s">
        <v>54</v>
      </c>
      <c r="AE1468" s="33">
        <v>64.29</v>
      </c>
      <c r="AN1468" s="7" t="s">
        <v>54</v>
      </c>
      <c r="AO1468" s="7" t="s">
        <v>55</v>
      </c>
      <c r="AP1468" s="7" t="s">
        <v>56</v>
      </c>
      <c r="AT1468" s="47" t="s">
        <v>57</v>
      </c>
      <c r="AU1468" s="47" t="s">
        <v>57</v>
      </c>
    </row>
    <row r="1469" spans="1:47">
      <c r="A1469" s="4" t="s">
        <v>48</v>
      </c>
      <c r="C1469" s="21"/>
      <c r="D1469" s="22" t="s">
        <v>49</v>
      </c>
      <c r="G1469" s="23">
        <v>45093</v>
      </c>
      <c r="H1469" s="24" t="s">
        <v>4354</v>
      </c>
      <c r="J1469" s="28" t="s">
        <v>51</v>
      </c>
      <c r="L1469" s="24" t="s">
        <v>4355</v>
      </c>
      <c r="M1469" s="1" t="str">
        <f>"131082198112210530"</f>
        <v>131082198112210530</v>
      </c>
      <c r="N1469" s="24" t="s">
        <v>4355</v>
      </c>
      <c r="O1469" s="1" t="str">
        <f>"131082198112210530"</f>
        <v>131082198112210530</v>
      </c>
      <c r="P1469" s="23" t="s">
        <v>4356</v>
      </c>
      <c r="Q1469" s="23">
        <v>45094</v>
      </c>
      <c r="R1469" s="32">
        <v>45460</v>
      </c>
      <c r="V1469" s="33">
        <v>200</v>
      </c>
      <c r="W1469" s="28">
        <v>64.29</v>
      </c>
      <c r="X1469" s="34" t="s">
        <v>54</v>
      </c>
      <c r="Y1469" s="33">
        <v>128.58</v>
      </c>
      <c r="AC1469" s="28">
        <v>64.29</v>
      </c>
      <c r="AD1469" s="34" t="s">
        <v>54</v>
      </c>
      <c r="AE1469" s="33">
        <v>128.58</v>
      </c>
      <c r="AN1469" s="7" t="s">
        <v>54</v>
      </c>
      <c r="AO1469" s="7" t="s">
        <v>55</v>
      </c>
      <c r="AP1469" s="7" t="s">
        <v>56</v>
      </c>
      <c r="AT1469" s="47" t="s">
        <v>57</v>
      </c>
      <c r="AU1469" s="47" t="s">
        <v>57</v>
      </c>
    </row>
    <row r="1470" spans="1:47">
      <c r="A1470" s="4" t="s">
        <v>48</v>
      </c>
      <c r="C1470" s="21"/>
      <c r="D1470" s="22" t="s">
        <v>49</v>
      </c>
      <c r="G1470" s="23">
        <v>45093</v>
      </c>
      <c r="H1470" s="24" t="s">
        <v>4357</v>
      </c>
      <c r="J1470" s="28" t="s">
        <v>51</v>
      </c>
      <c r="L1470" s="24" t="s">
        <v>4358</v>
      </c>
      <c r="M1470" s="1" t="str">
        <f>"131023199712260018"</f>
        <v>131023199712260018</v>
      </c>
      <c r="N1470" s="24" t="s">
        <v>4358</v>
      </c>
      <c r="O1470" s="1" t="str">
        <f>"131023199712260018"</f>
        <v>131023199712260018</v>
      </c>
      <c r="P1470" s="23" t="s">
        <v>4359</v>
      </c>
      <c r="Q1470" s="23">
        <v>45094</v>
      </c>
      <c r="R1470" s="32">
        <v>45460</v>
      </c>
      <c r="V1470" s="33">
        <v>200</v>
      </c>
      <c r="W1470" s="28">
        <v>64.29</v>
      </c>
      <c r="X1470" s="34" t="s">
        <v>54</v>
      </c>
      <c r="Y1470" s="33">
        <v>128.58</v>
      </c>
      <c r="AC1470" s="28">
        <v>64.29</v>
      </c>
      <c r="AD1470" s="34" t="s">
        <v>54</v>
      </c>
      <c r="AE1470" s="33">
        <v>128.58</v>
      </c>
      <c r="AN1470" s="7" t="s">
        <v>54</v>
      </c>
      <c r="AO1470" s="7" t="s">
        <v>55</v>
      </c>
      <c r="AP1470" s="7" t="s">
        <v>56</v>
      </c>
      <c r="AT1470" s="47" t="s">
        <v>57</v>
      </c>
      <c r="AU1470" s="47" t="s">
        <v>57</v>
      </c>
    </row>
    <row r="1471" spans="1:47">
      <c r="A1471" s="4" t="s">
        <v>48</v>
      </c>
      <c r="C1471" s="21"/>
      <c r="D1471" s="22" t="s">
        <v>49</v>
      </c>
      <c r="G1471" s="23">
        <v>45093</v>
      </c>
      <c r="H1471" s="24" t="s">
        <v>4360</v>
      </c>
      <c r="J1471" s="28" t="s">
        <v>51</v>
      </c>
      <c r="L1471" s="24" t="s">
        <v>4361</v>
      </c>
      <c r="M1471" s="1" t="str">
        <f>"110224197409190022"</f>
        <v>110224197409190022</v>
      </c>
      <c r="N1471" s="24" t="s">
        <v>4361</v>
      </c>
      <c r="O1471" s="1" t="str">
        <f>"110224197409190022"</f>
        <v>110224197409190022</v>
      </c>
      <c r="P1471" s="23" t="s">
        <v>4362</v>
      </c>
      <c r="Q1471" s="23">
        <v>45124</v>
      </c>
      <c r="R1471" s="32">
        <v>45490</v>
      </c>
      <c r="V1471" s="33">
        <v>200</v>
      </c>
      <c r="W1471" s="28">
        <v>64.29</v>
      </c>
      <c r="X1471" s="34" t="s">
        <v>54</v>
      </c>
      <c r="Y1471" s="33">
        <v>128.58</v>
      </c>
      <c r="AC1471" s="28">
        <v>64.29</v>
      </c>
      <c r="AD1471" s="34" t="s">
        <v>54</v>
      </c>
      <c r="AE1471" s="33">
        <v>128.58</v>
      </c>
      <c r="AN1471" s="7" t="s">
        <v>54</v>
      </c>
      <c r="AO1471" s="7" t="s">
        <v>55</v>
      </c>
      <c r="AP1471" s="7" t="s">
        <v>56</v>
      </c>
      <c r="AT1471" s="47" t="s">
        <v>57</v>
      </c>
      <c r="AU1471" s="47" t="s">
        <v>57</v>
      </c>
    </row>
    <row r="1472" spans="1:47">
      <c r="A1472" s="4" t="s">
        <v>48</v>
      </c>
      <c r="C1472" s="21"/>
      <c r="D1472" s="22" t="s">
        <v>49</v>
      </c>
      <c r="G1472" s="23">
        <v>45079</v>
      </c>
      <c r="H1472" s="24" t="s">
        <v>4363</v>
      </c>
      <c r="J1472" s="28" t="s">
        <v>51</v>
      </c>
      <c r="L1472" s="24" t="s">
        <v>4364</v>
      </c>
      <c r="M1472" s="1" t="str">
        <f>"341222199107086035"</f>
        <v>341222199107086035</v>
      </c>
      <c r="N1472" s="24" t="s">
        <v>4364</v>
      </c>
      <c r="O1472" s="1" t="str">
        <f>"341222199107086035"</f>
        <v>341222199107086035</v>
      </c>
      <c r="P1472" s="23" t="s">
        <v>4365</v>
      </c>
      <c r="Q1472" s="23">
        <v>45080</v>
      </c>
      <c r="R1472" s="32">
        <v>45446</v>
      </c>
      <c r="V1472" s="33">
        <v>50</v>
      </c>
      <c r="W1472" s="28">
        <v>64.29</v>
      </c>
      <c r="X1472" s="34" t="s">
        <v>54</v>
      </c>
      <c r="Y1472" s="33">
        <v>32.15</v>
      </c>
      <c r="AC1472" s="28">
        <v>64.29</v>
      </c>
      <c r="AD1472" s="34" t="s">
        <v>54</v>
      </c>
      <c r="AE1472" s="33">
        <v>32.15</v>
      </c>
      <c r="AN1472" s="7" t="s">
        <v>54</v>
      </c>
      <c r="AO1472" s="7" t="s">
        <v>55</v>
      </c>
      <c r="AP1472" s="7" t="s">
        <v>56</v>
      </c>
      <c r="AT1472" s="47" t="s">
        <v>57</v>
      </c>
      <c r="AU1472" s="47" t="s">
        <v>57</v>
      </c>
    </row>
    <row r="1473" spans="1:47">
      <c r="A1473" s="4" t="s">
        <v>48</v>
      </c>
      <c r="C1473" s="21"/>
      <c r="D1473" s="22" t="s">
        <v>49</v>
      </c>
      <c r="G1473" s="23">
        <v>45078</v>
      </c>
      <c r="H1473" s="24" t="s">
        <v>4366</v>
      </c>
      <c r="J1473" s="28" t="s">
        <v>51</v>
      </c>
      <c r="L1473" s="24" t="s">
        <v>4367</v>
      </c>
      <c r="M1473" s="1" t="str">
        <f>"131082198604150570"</f>
        <v>131082198604150570</v>
      </c>
      <c r="N1473" s="24" t="s">
        <v>4367</v>
      </c>
      <c r="O1473" s="1" t="str">
        <f>"131082198604150570"</f>
        <v>131082198604150570</v>
      </c>
      <c r="P1473" s="23" t="s">
        <v>4368</v>
      </c>
      <c r="Q1473" s="23">
        <v>45079</v>
      </c>
      <c r="R1473" s="32">
        <v>45445</v>
      </c>
      <c r="V1473" s="33">
        <v>50</v>
      </c>
      <c r="W1473" s="28">
        <v>64.29</v>
      </c>
      <c r="X1473" s="34" t="s">
        <v>54</v>
      </c>
      <c r="Y1473" s="33">
        <v>32.15</v>
      </c>
      <c r="AC1473" s="28">
        <v>64.29</v>
      </c>
      <c r="AD1473" s="34" t="s">
        <v>54</v>
      </c>
      <c r="AE1473" s="33">
        <v>32.15</v>
      </c>
      <c r="AN1473" s="7" t="s">
        <v>54</v>
      </c>
      <c r="AO1473" s="7" t="s">
        <v>55</v>
      </c>
      <c r="AP1473" s="7" t="s">
        <v>56</v>
      </c>
      <c r="AT1473" s="47" t="s">
        <v>57</v>
      </c>
      <c r="AU1473" s="47" t="s">
        <v>57</v>
      </c>
    </row>
    <row r="1474" spans="1:47">
      <c r="A1474" s="4" t="s">
        <v>48</v>
      </c>
      <c r="C1474" s="21"/>
      <c r="D1474" s="22" t="s">
        <v>49</v>
      </c>
      <c r="G1474" s="23">
        <v>45078</v>
      </c>
      <c r="H1474" s="24" t="s">
        <v>4369</v>
      </c>
      <c r="J1474" s="28" t="s">
        <v>51</v>
      </c>
      <c r="L1474" s="24" t="s">
        <v>4370</v>
      </c>
      <c r="M1474" s="1" t="str">
        <f>"320621196406013319"</f>
        <v>320621196406013319</v>
      </c>
      <c r="N1474" s="24" t="s">
        <v>4370</v>
      </c>
      <c r="O1474" s="1" t="str">
        <f>"320621196406013319"</f>
        <v>320621196406013319</v>
      </c>
      <c r="P1474" s="23" t="s">
        <v>4371</v>
      </c>
      <c r="Q1474" s="23">
        <v>45079</v>
      </c>
      <c r="R1474" s="32">
        <v>45445</v>
      </c>
      <c r="V1474" s="33">
        <v>50</v>
      </c>
      <c r="W1474" s="28">
        <v>64.29</v>
      </c>
      <c r="X1474" s="34" t="s">
        <v>54</v>
      </c>
      <c r="Y1474" s="33">
        <v>32.15</v>
      </c>
      <c r="AC1474" s="28">
        <v>64.29</v>
      </c>
      <c r="AD1474" s="34" t="s">
        <v>54</v>
      </c>
      <c r="AE1474" s="33">
        <v>32.15</v>
      </c>
      <c r="AN1474" s="7" t="s">
        <v>54</v>
      </c>
      <c r="AO1474" s="7" t="s">
        <v>55</v>
      </c>
      <c r="AP1474" s="7" t="s">
        <v>56</v>
      </c>
      <c r="AT1474" s="47" t="s">
        <v>57</v>
      </c>
      <c r="AU1474" s="47" t="s">
        <v>57</v>
      </c>
    </row>
    <row r="1475" spans="1:47">
      <c r="A1475" s="4" t="s">
        <v>48</v>
      </c>
      <c r="C1475" s="21"/>
      <c r="D1475" s="22" t="s">
        <v>49</v>
      </c>
      <c r="G1475" s="23">
        <v>45094</v>
      </c>
      <c r="H1475" s="24" t="s">
        <v>4372</v>
      </c>
      <c r="J1475" s="28" t="s">
        <v>51</v>
      </c>
      <c r="L1475" s="24" t="s">
        <v>4373</v>
      </c>
      <c r="M1475" s="1" t="str">
        <f>"341623199102034015"</f>
        <v>341623199102034015</v>
      </c>
      <c r="N1475" s="24" t="s">
        <v>4373</v>
      </c>
      <c r="O1475" s="1" t="str">
        <f>"341623199102034015"</f>
        <v>341623199102034015</v>
      </c>
      <c r="P1475" s="23" t="s">
        <v>4374</v>
      </c>
      <c r="Q1475" s="23">
        <v>45095</v>
      </c>
      <c r="R1475" s="32">
        <v>45461</v>
      </c>
      <c r="V1475" s="33">
        <v>100</v>
      </c>
      <c r="W1475" s="28">
        <v>64.29</v>
      </c>
      <c r="X1475" s="34" t="s">
        <v>54</v>
      </c>
      <c r="Y1475" s="33">
        <v>64.29</v>
      </c>
      <c r="AC1475" s="28">
        <v>64.29</v>
      </c>
      <c r="AD1475" s="34" t="s">
        <v>54</v>
      </c>
      <c r="AE1475" s="33">
        <v>64.29</v>
      </c>
      <c r="AN1475" s="7" t="s">
        <v>54</v>
      </c>
      <c r="AO1475" s="7" t="s">
        <v>55</v>
      </c>
      <c r="AP1475" s="7" t="s">
        <v>56</v>
      </c>
      <c r="AT1475" s="47" t="s">
        <v>57</v>
      </c>
      <c r="AU1475" s="47" t="s">
        <v>57</v>
      </c>
    </row>
    <row r="1476" spans="1:47">
      <c r="A1476" s="4" t="s">
        <v>48</v>
      </c>
      <c r="C1476" s="21"/>
      <c r="D1476" s="22" t="s">
        <v>49</v>
      </c>
      <c r="G1476" s="23">
        <v>45095</v>
      </c>
      <c r="H1476" s="24" t="s">
        <v>4375</v>
      </c>
      <c r="J1476" s="28" t="s">
        <v>51</v>
      </c>
      <c r="L1476" s="24" t="s">
        <v>4376</v>
      </c>
      <c r="M1476" s="1" t="str">
        <f>"342101198006111333"</f>
        <v>342101198006111333</v>
      </c>
      <c r="N1476" s="24" t="s">
        <v>4376</v>
      </c>
      <c r="O1476" s="1" t="str">
        <f>"342101198006111333"</f>
        <v>342101198006111333</v>
      </c>
      <c r="P1476" s="23" t="s">
        <v>4377</v>
      </c>
      <c r="Q1476" s="23">
        <v>45096</v>
      </c>
      <c r="R1476" s="32">
        <v>45462</v>
      </c>
      <c r="V1476" s="33">
        <v>100</v>
      </c>
      <c r="W1476" s="28">
        <v>64.29</v>
      </c>
      <c r="X1476" s="34" t="s">
        <v>54</v>
      </c>
      <c r="Y1476" s="33">
        <v>64.29</v>
      </c>
      <c r="AC1476" s="28">
        <v>64.29</v>
      </c>
      <c r="AD1476" s="34" t="s">
        <v>54</v>
      </c>
      <c r="AE1476" s="33">
        <v>64.29</v>
      </c>
      <c r="AN1476" s="7" t="s">
        <v>54</v>
      </c>
      <c r="AO1476" s="7" t="s">
        <v>55</v>
      </c>
      <c r="AP1476" s="7" t="s">
        <v>56</v>
      </c>
      <c r="AT1476" s="47" t="s">
        <v>57</v>
      </c>
      <c r="AU1476" s="47" t="s">
        <v>57</v>
      </c>
    </row>
    <row r="1477" spans="1:47">
      <c r="A1477" s="4" t="s">
        <v>48</v>
      </c>
      <c r="C1477" s="21"/>
      <c r="D1477" s="22" t="s">
        <v>49</v>
      </c>
      <c r="G1477" s="23">
        <v>45095</v>
      </c>
      <c r="H1477" s="24" t="s">
        <v>4378</v>
      </c>
      <c r="J1477" s="28" t="s">
        <v>51</v>
      </c>
      <c r="L1477" s="24" t="s">
        <v>4379</v>
      </c>
      <c r="M1477" s="1" t="str">
        <f>"34212719471109671X"</f>
        <v>34212719471109671X</v>
      </c>
      <c r="N1477" s="24" t="s">
        <v>4379</v>
      </c>
      <c r="O1477" s="1" t="str">
        <f>"34212719471109671X"</f>
        <v>34212719471109671X</v>
      </c>
      <c r="P1477" s="23" t="s">
        <v>4380</v>
      </c>
      <c r="Q1477" s="23">
        <v>45096</v>
      </c>
      <c r="R1477" s="32">
        <v>45462</v>
      </c>
      <c r="V1477" s="33">
        <v>100</v>
      </c>
      <c r="W1477" s="28">
        <v>64.29</v>
      </c>
      <c r="X1477" s="34" t="s">
        <v>54</v>
      </c>
      <c r="Y1477" s="33">
        <v>64.29</v>
      </c>
      <c r="AC1477" s="28">
        <v>64.29</v>
      </c>
      <c r="AD1477" s="34" t="s">
        <v>54</v>
      </c>
      <c r="AE1477" s="33">
        <v>64.29</v>
      </c>
      <c r="AN1477" s="7" t="s">
        <v>54</v>
      </c>
      <c r="AO1477" s="7" t="s">
        <v>55</v>
      </c>
      <c r="AP1477" s="7" t="s">
        <v>56</v>
      </c>
      <c r="AT1477" s="47" t="s">
        <v>57</v>
      </c>
      <c r="AU1477" s="47" t="s">
        <v>57</v>
      </c>
    </row>
    <row r="1478" spans="1:47">
      <c r="A1478" s="4" t="s">
        <v>48</v>
      </c>
      <c r="C1478" s="21"/>
      <c r="D1478" s="22" t="s">
        <v>49</v>
      </c>
      <c r="G1478" s="23">
        <v>45093</v>
      </c>
      <c r="H1478" s="24" t="s">
        <v>4381</v>
      </c>
      <c r="J1478" s="28" t="s">
        <v>51</v>
      </c>
      <c r="L1478" s="24" t="s">
        <v>4382</v>
      </c>
      <c r="M1478" s="1" t="str">
        <f>"15042619870823238X"</f>
        <v>15042619870823238X</v>
      </c>
      <c r="N1478" s="24" t="s">
        <v>4382</v>
      </c>
      <c r="O1478" s="1" t="str">
        <f>"15042619870823238X"</f>
        <v>15042619870823238X</v>
      </c>
      <c r="P1478" s="23" t="s">
        <v>4368</v>
      </c>
      <c r="Q1478" s="23">
        <v>45094</v>
      </c>
      <c r="R1478" s="32">
        <v>45460</v>
      </c>
      <c r="V1478" s="33">
        <v>100</v>
      </c>
      <c r="W1478" s="28">
        <v>64.29</v>
      </c>
      <c r="X1478" s="34" t="s">
        <v>54</v>
      </c>
      <c r="Y1478" s="33">
        <v>64.29</v>
      </c>
      <c r="AC1478" s="28">
        <v>64.29</v>
      </c>
      <c r="AD1478" s="34" t="s">
        <v>54</v>
      </c>
      <c r="AE1478" s="33">
        <v>64.29</v>
      </c>
      <c r="AN1478" s="7" t="s">
        <v>54</v>
      </c>
      <c r="AO1478" s="7" t="s">
        <v>55</v>
      </c>
      <c r="AP1478" s="7" t="s">
        <v>56</v>
      </c>
      <c r="AT1478" s="47" t="s">
        <v>57</v>
      </c>
      <c r="AU1478" s="47" t="s">
        <v>57</v>
      </c>
    </row>
    <row r="1479" spans="1:47">
      <c r="A1479" s="4" t="s">
        <v>48</v>
      </c>
      <c r="C1479" s="21"/>
      <c r="D1479" s="22" t="s">
        <v>49</v>
      </c>
      <c r="G1479" s="23">
        <v>45083</v>
      </c>
      <c r="H1479" s="24" t="s">
        <v>4383</v>
      </c>
      <c r="J1479" s="28" t="s">
        <v>51</v>
      </c>
      <c r="L1479" s="24" t="s">
        <v>4384</v>
      </c>
      <c r="M1479" s="1" t="str">
        <f>"34120419941201203X"</f>
        <v>34120419941201203X</v>
      </c>
      <c r="N1479" s="24" t="s">
        <v>4384</v>
      </c>
      <c r="O1479" s="1" t="str">
        <f>"34120419941201203X"</f>
        <v>34120419941201203X</v>
      </c>
      <c r="P1479" s="23" t="s">
        <v>4385</v>
      </c>
      <c r="Q1479" s="23">
        <v>45267</v>
      </c>
      <c r="R1479" s="32">
        <v>45633</v>
      </c>
      <c r="V1479" s="33">
        <v>100</v>
      </c>
      <c r="W1479" s="28">
        <v>64.29</v>
      </c>
      <c r="X1479" s="34" t="s">
        <v>54</v>
      </c>
      <c r="Y1479" s="33">
        <v>64.29</v>
      </c>
      <c r="AC1479" s="28">
        <v>64.29</v>
      </c>
      <c r="AD1479" s="34" t="s">
        <v>54</v>
      </c>
      <c r="AE1479" s="33">
        <v>64.29</v>
      </c>
      <c r="AN1479" s="7" t="s">
        <v>54</v>
      </c>
      <c r="AO1479" s="7" t="s">
        <v>55</v>
      </c>
      <c r="AP1479" s="7" t="s">
        <v>56</v>
      </c>
      <c r="AT1479" s="47" t="s">
        <v>57</v>
      </c>
      <c r="AU1479" s="47" t="s">
        <v>57</v>
      </c>
    </row>
    <row r="1480" spans="1:47">
      <c r="A1480" s="4" t="s">
        <v>48</v>
      </c>
      <c r="C1480" s="21"/>
      <c r="D1480" s="22" t="s">
        <v>49</v>
      </c>
      <c r="G1480" s="23">
        <v>45084</v>
      </c>
      <c r="H1480" s="24" t="s">
        <v>4386</v>
      </c>
      <c r="J1480" s="28" t="s">
        <v>51</v>
      </c>
      <c r="L1480" s="24" t="s">
        <v>4387</v>
      </c>
      <c r="M1480" s="1" t="str">
        <f>"110105197608275825"</f>
        <v>110105197608275825</v>
      </c>
      <c r="N1480" s="24" t="s">
        <v>4387</v>
      </c>
      <c r="O1480" s="1" t="str">
        <f>"110105197608275825"</f>
        <v>110105197608275825</v>
      </c>
      <c r="P1480" s="23" t="s">
        <v>4388</v>
      </c>
      <c r="Q1480" s="23">
        <v>45268</v>
      </c>
      <c r="R1480" s="32">
        <v>45634</v>
      </c>
      <c r="V1480" s="33">
        <v>100</v>
      </c>
      <c r="W1480" s="28">
        <v>64.29</v>
      </c>
      <c r="X1480" s="34" t="s">
        <v>54</v>
      </c>
      <c r="Y1480" s="33">
        <v>64.29</v>
      </c>
      <c r="AC1480" s="28">
        <v>64.29</v>
      </c>
      <c r="AD1480" s="34" t="s">
        <v>54</v>
      </c>
      <c r="AE1480" s="33">
        <v>64.29</v>
      </c>
      <c r="AN1480" s="7" t="s">
        <v>54</v>
      </c>
      <c r="AO1480" s="7" t="s">
        <v>55</v>
      </c>
      <c r="AP1480" s="7" t="s">
        <v>56</v>
      </c>
      <c r="AT1480" s="47" t="s">
        <v>57</v>
      </c>
      <c r="AU1480" s="47" t="s">
        <v>57</v>
      </c>
    </row>
    <row r="1481" spans="1:47">
      <c r="A1481" s="4" t="s">
        <v>48</v>
      </c>
      <c r="C1481" s="21"/>
      <c r="D1481" s="22" t="s">
        <v>49</v>
      </c>
      <c r="G1481" s="23">
        <v>45083</v>
      </c>
      <c r="H1481" s="24" t="s">
        <v>4389</v>
      </c>
      <c r="J1481" s="28" t="s">
        <v>51</v>
      </c>
      <c r="L1481" s="24" t="s">
        <v>4390</v>
      </c>
      <c r="M1481" s="1" t="str">
        <f>"341204198805060820"</f>
        <v>341204198805060820</v>
      </c>
      <c r="N1481" s="24" t="s">
        <v>4390</v>
      </c>
      <c r="O1481" s="1" t="str">
        <f>"341204198805060820"</f>
        <v>341204198805060820</v>
      </c>
      <c r="P1481" s="23" t="s">
        <v>4391</v>
      </c>
      <c r="Q1481" s="23">
        <v>45268</v>
      </c>
      <c r="R1481" s="32">
        <v>45634</v>
      </c>
      <c r="V1481" s="33">
        <v>100</v>
      </c>
      <c r="W1481" s="28">
        <v>64.29</v>
      </c>
      <c r="X1481" s="34" t="s">
        <v>54</v>
      </c>
      <c r="Y1481" s="33">
        <v>64.29</v>
      </c>
      <c r="AC1481" s="28">
        <v>64.29</v>
      </c>
      <c r="AD1481" s="34" t="s">
        <v>54</v>
      </c>
      <c r="AE1481" s="33">
        <v>64.29</v>
      </c>
      <c r="AN1481" s="7" t="s">
        <v>54</v>
      </c>
      <c r="AO1481" s="7" t="s">
        <v>55</v>
      </c>
      <c r="AP1481" s="7" t="s">
        <v>56</v>
      </c>
      <c r="AT1481" s="47" t="s">
        <v>57</v>
      </c>
      <c r="AU1481" s="47" t="s">
        <v>57</v>
      </c>
    </row>
    <row r="1482" spans="1:47">
      <c r="A1482" s="4" t="s">
        <v>48</v>
      </c>
      <c r="C1482" s="21"/>
      <c r="D1482" s="22" t="s">
        <v>49</v>
      </c>
      <c r="G1482" s="23">
        <v>45083</v>
      </c>
      <c r="H1482" s="24" t="s">
        <v>4392</v>
      </c>
      <c r="J1482" s="28" t="s">
        <v>51</v>
      </c>
      <c r="L1482" s="24" t="s">
        <v>4393</v>
      </c>
      <c r="M1482" s="1" t="str">
        <f>"342101195604010221"</f>
        <v>342101195604010221</v>
      </c>
      <c r="N1482" s="24" t="s">
        <v>4393</v>
      </c>
      <c r="O1482" s="1" t="str">
        <f>"342101195604010221"</f>
        <v>342101195604010221</v>
      </c>
      <c r="P1482" s="23" t="s">
        <v>4394</v>
      </c>
      <c r="Q1482" s="23">
        <v>45108</v>
      </c>
      <c r="R1482" s="32">
        <v>45474</v>
      </c>
      <c r="V1482" s="33">
        <v>100</v>
      </c>
      <c r="W1482" s="28">
        <v>64.29</v>
      </c>
      <c r="X1482" s="34" t="s">
        <v>54</v>
      </c>
      <c r="Y1482" s="33">
        <v>64.29</v>
      </c>
      <c r="AC1482" s="28">
        <v>64.29</v>
      </c>
      <c r="AD1482" s="34" t="s">
        <v>54</v>
      </c>
      <c r="AE1482" s="33">
        <v>64.29</v>
      </c>
      <c r="AN1482" s="7" t="s">
        <v>54</v>
      </c>
      <c r="AO1482" s="7" t="s">
        <v>55</v>
      </c>
      <c r="AP1482" s="7" t="s">
        <v>56</v>
      </c>
      <c r="AT1482" s="47" t="s">
        <v>57</v>
      </c>
      <c r="AU1482" s="47" t="s">
        <v>57</v>
      </c>
    </row>
    <row r="1483" spans="1:47">
      <c r="A1483" s="4" t="s">
        <v>48</v>
      </c>
      <c r="C1483" s="21"/>
      <c r="D1483" s="22" t="s">
        <v>49</v>
      </c>
      <c r="G1483" s="23">
        <v>45084</v>
      </c>
      <c r="H1483" s="24" t="s">
        <v>4395</v>
      </c>
      <c r="J1483" s="28" t="s">
        <v>51</v>
      </c>
      <c r="L1483" s="24" t="s">
        <v>4396</v>
      </c>
      <c r="M1483" s="1" t="str">
        <f>"132404197608165496"</f>
        <v>132404197608165496</v>
      </c>
      <c r="N1483" s="24" t="s">
        <v>4396</v>
      </c>
      <c r="O1483" s="1" t="str">
        <f>"132404197608165496"</f>
        <v>132404197608165496</v>
      </c>
      <c r="P1483" s="23" t="s">
        <v>4397</v>
      </c>
      <c r="Q1483" s="23">
        <v>45177</v>
      </c>
      <c r="R1483" s="32">
        <v>45543</v>
      </c>
      <c r="V1483" s="33">
        <v>100</v>
      </c>
      <c r="W1483" s="28">
        <v>64.29</v>
      </c>
      <c r="X1483" s="34" t="s">
        <v>54</v>
      </c>
      <c r="Y1483" s="33">
        <v>64.29</v>
      </c>
      <c r="AC1483" s="28">
        <v>64.29</v>
      </c>
      <c r="AD1483" s="34" t="s">
        <v>54</v>
      </c>
      <c r="AE1483" s="33">
        <v>64.29</v>
      </c>
      <c r="AN1483" s="7" t="s">
        <v>54</v>
      </c>
      <c r="AO1483" s="7" t="s">
        <v>55</v>
      </c>
      <c r="AP1483" s="7" t="s">
        <v>56</v>
      </c>
      <c r="AT1483" s="47" t="s">
        <v>57</v>
      </c>
      <c r="AU1483" s="47" t="s">
        <v>57</v>
      </c>
    </row>
    <row r="1484" spans="1:47">
      <c r="A1484" s="4" t="s">
        <v>48</v>
      </c>
      <c r="C1484" s="21"/>
      <c r="D1484" s="22" t="s">
        <v>49</v>
      </c>
      <c r="G1484" s="23">
        <v>45075</v>
      </c>
      <c r="H1484" s="24" t="s">
        <v>4398</v>
      </c>
      <c r="J1484" s="28" t="s">
        <v>51</v>
      </c>
      <c r="L1484" s="24" t="s">
        <v>4399</v>
      </c>
      <c r="M1484" s="1" t="str">
        <f>"34122519910111601X"</f>
        <v>34122519910111601X</v>
      </c>
      <c r="N1484" s="24" t="s">
        <v>4399</v>
      </c>
      <c r="O1484" s="1" t="str">
        <f>"34122519910111601X"</f>
        <v>34122519910111601X</v>
      </c>
      <c r="P1484" s="23" t="s">
        <v>4400</v>
      </c>
      <c r="Q1484" s="23">
        <v>45076</v>
      </c>
      <c r="R1484" s="32">
        <v>45442</v>
      </c>
      <c r="V1484" s="33">
        <v>50</v>
      </c>
      <c r="W1484" s="28">
        <v>64.29</v>
      </c>
      <c r="X1484" s="34" t="s">
        <v>54</v>
      </c>
      <c r="Y1484" s="33">
        <v>32.15</v>
      </c>
      <c r="AC1484" s="28">
        <v>64.29</v>
      </c>
      <c r="AD1484" s="34" t="s">
        <v>54</v>
      </c>
      <c r="AE1484" s="33">
        <v>32.15</v>
      </c>
      <c r="AN1484" s="7" t="s">
        <v>54</v>
      </c>
      <c r="AO1484" s="7" t="s">
        <v>55</v>
      </c>
      <c r="AP1484" s="7" t="s">
        <v>56</v>
      </c>
      <c r="AT1484" s="47" t="s">
        <v>57</v>
      </c>
      <c r="AU1484" s="47" t="s">
        <v>57</v>
      </c>
    </row>
    <row r="1485" spans="1:47">
      <c r="A1485" s="4" t="s">
        <v>48</v>
      </c>
      <c r="C1485" s="21"/>
      <c r="D1485" s="22" t="s">
        <v>49</v>
      </c>
      <c r="G1485" s="23">
        <v>45076</v>
      </c>
      <c r="H1485" s="24" t="s">
        <v>4401</v>
      </c>
      <c r="J1485" s="28" t="s">
        <v>51</v>
      </c>
      <c r="L1485" s="24" t="s">
        <v>4402</v>
      </c>
      <c r="M1485" s="1" t="str">
        <f>"342101197812261016"</f>
        <v>342101197812261016</v>
      </c>
      <c r="N1485" s="24" t="s">
        <v>4402</v>
      </c>
      <c r="O1485" s="1" t="str">
        <f>"342101197812261016"</f>
        <v>342101197812261016</v>
      </c>
      <c r="P1485" s="23" t="s">
        <v>4403</v>
      </c>
      <c r="Q1485" s="23">
        <v>45077</v>
      </c>
      <c r="R1485" s="32">
        <v>45443</v>
      </c>
      <c r="V1485" s="33">
        <v>50</v>
      </c>
      <c r="W1485" s="28">
        <v>64.29</v>
      </c>
      <c r="X1485" s="34" t="s">
        <v>54</v>
      </c>
      <c r="Y1485" s="33">
        <v>32.15</v>
      </c>
      <c r="AC1485" s="28">
        <v>64.29</v>
      </c>
      <c r="AD1485" s="34" t="s">
        <v>54</v>
      </c>
      <c r="AE1485" s="33">
        <v>32.15</v>
      </c>
      <c r="AN1485" s="7" t="s">
        <v>54</v>
      </c>
      <c r="AO1485" s="7" t="s">
        <v>55</v>
      </c>
      <c r="AP1485" s="7" t="s">
        <v>56</v>
      </c>
      <c r="AT1485" s="47" t="s">
        <v>57</v>
      </c>
      <c r="AU1485" s="47" t="s">
        <v>57</v>
      </c>
    </row>
    <row r="1486" spans="1:47">
      <c r="A1486" s="4" t="s">
        <v>48</v>
      </c>
      <c r="C1486" s="21"/>
      <c r="D1486" s="22" t="s">
        <v>49</v>
      </c>
      <c r="G1486" s="23">
        <v>45091</v>
      </c>
      <c r="H1486" s="24" t="s">
        <v>4404</v>
      </c>
      <c r="J1486" s="28" t="s">
        <v>51</v>
      </c>
      <c r="L1486" s="24" t="s">
        <v>4405</v>
      </c>
      <c r="M1486" s="1" t="str">
        <f>"320722199008147720"</f>
        <v>320722199008147720</v>
      </c>
      <c r="N1486" s="24" t="s">
        <v>4405</v>
      </c>
      <c r="O1486" s="1" t="str">
        <f>"320722199008147720"</f>
        <v>320722199008147720</v>
      </c>
      <c r="P1486" s="23" t="s">
        <v>4406</v>
      </c>
      <c r="Q1486" s="23">
        <v>45187</v>
      </c>
      <c r="R1486" s="32">
        <v>45553</v>
      </c>
      <c r="V1486" s="33">
        <v>100</v>
      </c>
      <c r="W1486" s="28">
        <v>64.29</v>
      </c>
      <c r="X1486" s="34" t="s">
        <v>54</v>
      </c>
      <c r="Y1486" s="33">
        <v>64.29</v>
      </c>
      <c r="AC1486" s="28">
        <v>64.29</v>
      </c>
      <c r="AD1486" s="34" t="s">
        <v>54</v>
      </c>
      <c r="AE1486" s="33">
        <v>64.29</v>
      </c>
      <c r="AN1486" s="7" t="s">
        <v>54</v>
      </c>
      <c r="AO1486" s="7" t="s">
        <v>55</v>
      </c>
      <c r="AP1486" s="7" t="s">
        <v>56</v>
      </c>
      <c r="AT1486" s="47" t="s">
        <v>57</v>
      </c>
      <c r="AU1486" s="47" t="s">
        <v>57</v>
      </c>
    </row>
    <row r="1487" spans="1:47">
      <c r="A1487" s="4" t="s">
        <v>48</v>
      </c>
      <c r="C1487" s="21"/>
      <c r="D1487" s="22" t="s">
        <v>49</v>
      </c>
      <c r="G1487" s="23">
        <v>45092</v>
      </c>
      <c r="H1487" s="24" t="s">
        <v>4407</v>
      </c>
      <c r="J1487" s="28" t="s">
        <v>51</v>
      </c>
      <c r="L1487" s="24" t="s">
        <v>4408</v>
      </c>
      <c r="M1487" s="1" t="str">
        <f>"342101194310051031"</f>
        <v>342101194310051031</v>
      </c>
      <c r="N1487" s="24" t="s">
        <v>4408</v>
      </c>
      <c r="O1487" s="1" t="str">
        <f>"342101194310051031"</f>
        <v>342101194310051031</v>
      </c>
      <c r="P1487" s="23" t="s">
        <v>4409</v>
      </c>
      <c r="Q1487" s="23">
        <v>45303</v>
      </c>
      <c r="R1487" s="32">
        <v>45669</v>
      </c>
      <c r="V1487" s="33">
        <v>100</v>
      </c>
      <c r="W1487" s="28">
        <v>64.29</v>
      </c>
      <c r="X1487" s="34" t="s">
        <v>54</v>
      </c>
      <c r="Y1487" s="33">
        <v>64.29</v>
      </c>
      <c r="AC1487" s="28">
        <v>64.29</v>
      </c>
      <c r="AD1487" s="34" t="s">
        <v>54</v>
      </c>
      <c r="AE1487" s="33">
        <v>64.29</v>
      </c>
      <c r="AN1487" s="7" t="s">
        <v>54</v>
      </c>
      <c r="AO1487" s="7" t="s">
        <v>55</v>
      </c>
      <c r="AP1487" s="7" t="s">
        <v>56</v>
      </c>
      <c r="AT1487" s="47" t="s">
        <v>57</v>
      </c>
      <c r="AU1487" s="47" t="s">
        <v>57</v>
      </c>
    </row>
    <row r="1488" spans="1:47">
      <c r="A1488" s="4" t="s">
        <v>48</v>
      </c>
      <c r="C1488" s="21"/>
      <c r="D1488" s="22" t="s">
        <v>49</v>
      </c>
      <c r="G1488" s="23">
        <v>45091</v>
      </c>
      <c r="H1488" s="24" t="s">
        <v>4410</v>
      </c>
      <c r="J1488" s="28" t="s">
        <v>51</v>
      </c>
      <c r="L1488" s="24" t="s">
        <v>3820</v>
      </c>
      <c r="M1488" s="1" t="str">
        <f>"34212719841224301X"</f>
        <v>34212719841224301X</v>
      </c>
      <c r="N1488" s="24" t="s">
        <v>3820</v>
      </c>
      <c r="O1488" s="1" t="str">
        <f>"34212719841224301X"</f>
        <v>34212719841224301X</v>
      </c>
      <c r="P1488" s="23" t="s">
        <v>4411</v>
      </c>
      <c r="Q1488" s="23">
        <v>45092</v>
      </c>
      <c r="R1488" s="32">
        <v>45458</v>
      </c>
      <c r="V1488" s="33">
        <v>100</v>
      </c>
      <c r="W1488" s="28">
        <v>64.29</v>
      </c>
      <c r="X1488" s="34" t="s">
        <v>54</v>
      </c>
      <c r="Y1488" s="33">
        <v>64.29</v>
      </c>
      <c r="AC1488" s="28">
        <v>64.29</v>
      </c>
      <c r="AD1488" s="34" t="s">
        <v>54</v>
      </c>
      <c r="AE1488" s="33">
        <v>64.29</v>
      </c>
      <c r="AN1488" s="7" t="s">
        <v>54</v>
      </c>
      <c r="AO1488" s="7" t="s">
        <v>55</v>
      </c>
      <c r="AP1488" s="7" t="s">
        <v>56</v>
      </c>
      <c r="AT1488" s="47" t="s">
        <v>57</v>
      </c>
      <c r="AU1488" s="47" t="s">
        <v>57</v>
      </c>
    </row>
    <row r="1489" spans="1:47">
      <c r="A1489" s="4" t="s">
        <v>48</v>
      </c>
      <c r="C1489" s="21"/>
      <c r="D1489" s="22" t="s">
        <v>49</v>
      </c>
      <c r="G1489" s="23">
        <v>45091</v>
      </c>
      <c r="H1489" s="24" t="s">
        <v>4412</v>
      </c>
      <c r="J1489" s="28" t="s">
        <v>51</v>
      </c>
      <c r="L1489" s="24" t="s">
        <v>4413</v>
      </c>
      <c r="M1489" s="1" t="str">
        <f>"110108197605196047"</f>
        <v>110108197605196047</v>
      </c>
      <c r="N1489" s="24" t="s">
        <v>4413</v>
      </c>
      <c r="O1489" s="1" t="str">
        <f>"110108197605196047"</f>
        <v>110108197605196047</v>
      </c>
      <c r="P1489" s="23" t="s">
        <v>4414</v>
      </c>
      <c r="Q1489" s="23">
        <v>45092</v>
      </c>
      <c r="R1489" s="32">
        <v>45458</v>
      </c>
      <c r="V1489" s="33">
        <v>100</v>
      </c>
      <c r="W1489" s="28">
        <v>64.29</v>
      </c>
      <c r="X1489" s="34" t="s">
        <v>54</v>
      </c>
      <c r="Y1489" s="33">
        <v>64.29</v>
      </c>
      <c r="AC1489" s="28">
        <v>64.29</v>
      </c>
      <c r="AD1489" s="34" t="s">
        <v>54</v>
      </c>
      <c r="AE1489" s="33">
        <v>64.29</v>
      </c>
      <c r="AN1489" s="7" t="s">
        <v>54</v>
      </c>
      <c r="AO1489" s="7" t="s">
        <v>55</v>
      </c>
      <c r="AP1489" s="7" t="s">
        <v>56</v>
      </c>
      <c r="AT1489" s="47" t="s">
        <v>57</v>
      </c>
      <c r="AU1489" s="47" t="s">
        <v>57</v>
      </c>
    </row>
    <row r="1490" spans="1:47">
      <c r="A1490" s="4" t="s">
        <v>48</v>
      </c>
      <c r="C1490" s="21"/>
      <c r="D1490" s="22" t="s">
        <v>49</v>
      </c>
      <c r="G1490" s="23">
        <v>45082</v>
      </c>
      <c r="H1490" s="24" t="s">
        <v>4415</v>
      </c>
      <c r="J1490" s="28" t="s">
        <v>51</v>
      </c>
      <c r="L1490" s="24" t="s">
        <v>4416</v>
      </c>
      <c r="M1490" s="1" t="str">
        <f>"22060219580409062X"</f>
        <v>22060219580409062X</v>
      </c>
      <c r="N1490" s="24" t="s">
        <v>4416</v>
      </c>
      <c r="O1490" s="1" t="str">
        <f>"22060219580409062X"</f>
        <v>22060219580409062X</v>
      </c>
      <c r="P1490" s="23" t="s">
        <v>4417</v>
      </c>
      <c r="Q1490" s="23">
        <v>45113</v>
      </c>
      <c r="R1490" s="32">
        <v>45479</v>
      </c>
      <c r="V1490" s="33">
        <v>100</v>
      </c>
      <c r="W1490" s="28">
        <v>64.29</v>
      </c>
      <c r="X1490" s="34" t="s">
        <v>54</v>
      </c>
      <c r="Y1490" s="33">
        <v>64.29</v>
      </c>
      <c r="AC1490" s="28">
        <v>64.29</v>
      </c>
      <c r="AD1490" s="34" t="s">
        <v>54</v>
      </c>
      <c r="AE1490" s="33">
        <v>64.29</v>
      </c>
      <c r="AN1490" s="7" t="s">
        <v>54</v>
      </c>
      <c r="AO1490" s="7" t="s">
        <v>55</v>
      </c>
      <c r="AP1490" s="7" t="s">
        <v>56</v>
      </c>
      <c r="AT1490" s="47" t="s">
        <v>57</v>
      </c>
      <c r="AU1490" s="47" t="s">
        <v>57</v>
      </c>
    </row>
    <row r="1491" spans="1:47">
      <c r="A1491" s="4" t="s">
        <v>48</v>
      </c>
      <c r="C1491" s="21"/>
      <c r="D1491" s="22" t="s">
        <v>49</v>
      </c>
      <c r="G1491" s="23">
        <v>45080</v>
      </c>
      <c r="H1491" s="24" t="s">
        <v>4418</v>
      </c>
      <c r="J1491" s="28" t="s">
        <v>51</v>
      </c>
      <c r="L1491" s="24" t="s">
        <v>4419</v>
      </c>
      <c r="M1491" s="1" t="str">
        <f>"341204199402060214"</f>
        <v>341204199402060214</v>
      </c>
      <c r="N1491" s="24" t="s">
        <v>4419</v>
      </c>
      <c r="O1491" s="1" t="str">
        <f>"341204199402060214"</f>
        <v>341204199402060214</v>
      </c>
      <c r="P1491" s="23" t="s">
        <v>4420</v>
      </c>
      <c r="Q1491" s="23">
        <v>45081</v>
      </c>
      <c r="R1491" s="32">
        <v>45447</v>
      </c>
      <c r="V1491" s="33">
        <v>100</v>
      </c>
      <c r="W1491" s="28">
        <v>64.29</v>
      </c>
      <c r="X1491" s="34" t="s">
        <v>54</v>
      </c>
      <c r="Y1491" s="33">
        <v>64.29</v>
      </c>
      <c r="AC1491" s="28">
        <v>64.29</v>
      </c>
      <c r="AD1491" s="34" t="s">
        <v>54</v>
      </c>
      <c r="AE1491" s="33">
        <v>64.29</v>
      </c>
      <c r="AN1491" s="7" t="s">
        <v>54</v>
      </c>
      <c r="AO1491" s="7" t="s">
        <v>55</v>
      </c>
      <c r="AP1491" s="7" t="s">
        <v>56</v>
      </c>
      <c r="AT1491" s="47" t="s">
        <v>57</v>
      </c>
      <c r="AU1491" s="47" t="s">
        <v>57</v>
      </c>
    </row>
    <row r="1492" spans="1:47">
      <c r="A1492" s="4" t="s">
        <v>48</v>
      </c>
      <c r="C1492" s="21"/>
      <c r="D1492" s="22" t="s">
        <v>49</v>
      </c>
      <c r="G1492" s="23">
        <v>45081</v>
      </c>
      <c r="H1492" s="24" t="s">
        <v>4421</v>
      </c>
      <c r="J1492" s="28" t="s">
        <v>51</v>
      </c>
      <c r="L1492" s="24" t="s">
        <v>4422</v>
      </c>
      <c r="M1492" s="1" t="str">
        <f>"34120420040311024X"</f>
        <v>34120420040311024X</v>
      </c>
      <c r="N1492" s="24" t="s">
        <v>4422</v>
      </c>
      <c r="O1492" s="1" t="str">
        <f>"34120420040311024X"</f>
        <v>34120420040311024X</v>
      </c>
      <c r="P1492" s="23" t="s">
        <v>4423</v>
      </c>
      <c r="Q1492" s="23">
        <v>45082</v>
      </c>
      <c r="R1492" s="32">
        <v>45448</v>
      </c>
      <c r="V1492" s="33">
        <v>100</v>
      </c>
      <c r="W1492" s="28">
        <v>64.29</v>
      </c>
      <c r="X1492" s="34" t="s">
        <v>54</v>
      </c>
      <c r="Y1492" s="33">
        <v>64.29</v>
      </c>
      <c r="AC1492" s="28">
        <v>64.29</v>
      </c>
      <c r="AD1492" s="34" t="s">
        <v>54</v>
      </c>
      <c r="AE1492" s="33">
        <v>64.29</v>
      </c>
      <c r="AN1492" s="7" t="s">
        <v>54</v>
      </c>
      <c r="AO1492" s="7" t="s">
        <v>55</v>
      </c>
      <c r="AP1492" s="7" t="s">
        <v>56</v>
      </c>
      <c r="AT1492" s="47" t="s">
        <v>57</v>
      </c>
      <c r="AU1492" s="47" t="s">
        <v>57</v>
      </c>
    </row>
    <row r="1493" spans="1:47">
      <c r="A1493" s="4" t="s">
        <v>48</v>
      </c>
      <c r="C1493" s="21"/>
      <c r="D1493" s="22" t="s">
        <v>49</v>
      </c>
      <c r="G1493" s="23">
        <v>45079</v>
      </c>
      <c r="H1493" s="24" t="s">
        <v>4424</v>
      </c>
      <c r="J1493" s="28" t="s">
        <v>51</v>
      </c>
      <c r="L1493" s="24" t="s">
        <v>4425</v>
      </c>
      <c r="M1493" s="1" t="str">
        <f>"132902196302086816"</f>
        <v>132902196302086816</v>
      </c>
      <c r="N1493" s="24" t="s">
        <v>4425</v>
      </c>
      <c r="O1493" s="1" t="str">
        <f>"132902196302086816"</f>
        <v>132902196302086816</v>
      </c>
      <c r="P1493" s="23" t="s">
        <v>4426</v>
      </c>
      <c r="Q1493" s="23">
        <v>45290</v>
      </c>
      <c r="R1493" s="32">
        <v>45656</v>
      </c>
      <c r="V1493" s="33">
        <v>100</v>
      </c>
      <c r="W1493" s="28">
        <v>64.29</v>
      </c>
      <c r="X1493" s="34" t="s">
        <v>54</v>
      </c>
      <c r="Y1493" s="33">
        <v>64.29</v>
      </c>
      <c r="AC1493" s="28">
        <v>64.29</v>
      </c>
      <c r="AD1493" s="34" t="s">
        <v>54</v>
      </c>
      <c r="AE1493" s="33">
        <v>64.29</v>
      </c>
      <c r="AN1493" s="7" t="s">
        <v>54</v>
      </c>
      <c r="AO1493" s="7" t="s">
        <v>55</v>
      </c>
      <c r="AP1493" s="7" t="s">
        <v>56</v>
      </c>
      <c r="AT1493" s="47" t="s">
        <v>57</v>
      </c>
      <c r="AU1493" s="47" t="s">
        <v>57</v>
      </c>
    </row>
    <row r="1494" spans="1:47">
      <c r="A1494" s="4" t="s">
        <v>48</v>
      </c>
      <c r="C1494" s="21"/>
      <c r="D1494" s="22" t="s">
        <v>49</v>
      </c>
      <c r="G1494" s="23">
        <v>45079</v>
      </c>
      <c r="H1494" s="24" t="s">
        <v>4427</v>
      </c>
      <c r="J1494" s="28" t="s">
        <v>51</v>
      </c>
      <c r="L1494" s="24" t="s">
        <v>4428</v>
      </c>
      <c r="M1494" s="1" t="str">
        <f>"132821198208200515"</f>
        <v>132821198208200515</v>
      </c>
      <c r="N1494" s="24" t="s">
        <v>4428</v>
      </c>
      <c r="O1494" s="1" t="str">
        <f>"132821198208200515"</f>
        <v>132821198208200515</v>
      </c>
      <c r="P1494" s="23" t="s">
        <v>4429</v>
      </c>
      <c r="Q1494" s="23">
        <v>45080</v>
      </c>
      <c r="R1494" s="32">
        <v>45446</v>
      </c>
      <c r="V1494" s="33">
        <v>100</v>
      </c>
      <c r="W1494" s="28">
        <v>64.29</v>
      </c>
      <c r="X1494" s="34" t="s">
        <v>54</v>
      </c>
      <c r="Y1494" s="33">
        <v>64.29</v>
      </c>
      <c r="AC1494" s="28">
        <v>64.29</v>
      </c>
      <c r="AD1494" s="34" t="s">
        <v>54</v>
      </c>
      <c r="AE1494" s="33">
        <v>64.29</v>
      </c>
      <c r="AN1494" s="7" t="s">
        <v>54</v>
      </c>
      <c r="AO1494" s="7" t="s">
        <v>55</v>
      </c>
      <c r="AP1494" s="7" t="s">
        <v>56</v>
      </c>
      <c r="AT1494" s="47" t="s">
        <v>57</v>
      </c>
      <c r="AU1494" s="47" t="s">
        <v>57</v>
      </c>
    </row>
    <row r="1495" spans="1:47">
      <c r="A1495" s="4" t="s">
        <v>48</v>
      </c>
      <c r="C1495" s="21"/>
      <c r="D1495" s="22" t="s">
        <v>49</v>
      </c>
      <c r="G1495" s="23">
        <v>45090</v>
      </c>
      <c r="H1495" s="24" t="s">
        <v>4430</v>
      </c>
      <c r="J1495" s="28" t="s">
        <v>51</v>
      </c>
      <c r="L1495" s="24" t="s">
        <v>4431</v>
      </c>
      <c r="M1495" s="1" t="str">
        <f>"34120420040311024X"</f>
        <v>34120420040311024X</v>
      </c>
      <c r="N1495" s="24" t="s">
        <v>4431</v>
      </c>
      <c r="O1495" s="1" t="str">
        <f>"34120420040311024X"</f>
        <v>34120420040311024X</v>
      </c>
      <c r="P1495" s="23" t="s">
        <v>4423</v>
      </c>
      <c r="Q1495" s="23">
        <v>45091</v>
      </c>
      <c r="R1495" s="32">
        <v>45457</v>
      </c>
      <c r="V1495" s="33">
        <v>200</v>
      </c>
      <c r="W1495" s="28">
        <v>64.29</v>
      </c>
      <c r="X1495" s="34" t="s">
        <v>54</v>
      </c>
      <c r="Y1495" s="33">
        <v>128.58</v>
      </c>
      <c r="AC1495" s="28">
        <v>64.29</v>
      </c>
      <c r="AD1495" s="34" t="s">
        <v>54</v>
      </c>
      <c r="AE1495" s="33">
        <v>128.58</v>
      </c>
      <c r="AN1495" s="7" t="s">
        <v>54</v>
      </c>
      <c r="AO1495" s="7" t="s">
        <v>55</v>
      </c>
      <c r="AP1495" s="7" t="s">
        <v>56</v>
      </c>
      <c r="AT1495" s="47" t="s">
        <v>57</v>
      </c>
      <c r="AU1495" s="47" t="s">
        <v>57</v>
      </c>
    </row>
    <row r="1496" spans="1:47">
      <c r="A1496" s="4" t="s">
        <v>48</v>
      </c>
      <c r="C1496" s="21"/>
      <c r="D1496" s="22" t="s">
        <v>49</v>
      </c>
      <c r="G1496" s="23">
        <v>45072</v>
      </c>
      <c r="H1496" s="24" t="s">
        <v>4432</v>
      </c>
      <c r="J1496" s="28" t="s">
        <v>51</v>
      </c>
      <c r="L1496" s="24" t="s">
        <v>4433</v>
      </c>
      <c r="M1496" s="1" t="str">
        <f>"132821196510050512"</f>
        <v>132821196510050512</v>
      </c>
      <c r="N1496" s="24" t="s">
        <v>4433</v>
      </c>
      <c r="O1496" s="1" t="str">
        <f>"132821196510050512"</f>
        <v>132821196510050512</v>
      </c>
      <c r="P1496" s="23" t="s">
        <v>4434</v>
      </c>
      <c r="Q1496" s="23">
        <v>45073</v>
      </c>
      <c r="R1496" s="32">
        <v>45439</v>
      </c>
      <c r="V1496" s="33">
        <v>50</v>
      </c>
      <c r="W1496" s="28">
        <v>64.29</v>
      </c>
      <c r="X1496" s="34" t="s">
        <v>54</v>
      </c>
      <c r="Y1496" s="33">
        <v>32.15</v>
      </c>
      <c r="AC1496" s="28">
        <v>64.29</v>
      </c>
      <c r="AD1496" s="34" t="s">
        <v>54</v>
      </c>
      <c r="AE1496" s="33">
        <v>32.15</v>
      </c>
      <c r="AN1496" s="7" t="s">
        <v>54</v>
      </c>
      <c r="AO1496" s="7" t="s">
        <v>55</v>
      </c>
      <c r="AP1496" s="7" t="s">
        <v>56</v>
      </c>
      <c r="AT1496" s="47" t="s">
        <v>57</v>
      </c>
      <c r="AU1496" s="47" t="s">
        <v>57</v>
      </c>
    </row>
    <row r="1497" spans="1:47">
      <c r="A1497" s="4" t="s">
        <v>48</v>
      </c>
      <c r="C1497" s="21"/>
      <c r="D1497" s="22" t="s">
        <v>49</v>
      </c>
      <c r="G1497" s="23">
        <v>45102</v>
      </c>
      <c r="H1497" s="24" t="s">
        <v>4435</v>
      </c>
      <c r="J1497" s="28" t="s">
        <v>51</v>
      </c>
      <c r="L1497" s="24" t="s">
        <v>4436</v>
      </c>
      <c r="M1497" s="1" t="str">
        <f>"341204198707021086"</f>
        <v>341204198707021086</v>
      </c>
      <c r="N1497" s="24" t="s">
        <v>4436</v>
      </c>
      <c r="O1497" s="1" t="str">
        <f>"341204198707021086"</f>
        <v>341204198707021086</v>
      </c>
      <c r="P1497" s="23" t="s">
        <v>4437</v>
      </c>
      <c r="Q1497" s="23">
        <v>45103</v>
      </c>
      <c r="R1497" s="32">
        <v>45469</v>
      </c>
      <c r="V1497" s="33">
        <v>100</v>
      </c>
      <c r="W1497" s="28">
        <v>64.29</v>
      </c>
      <c r="X1497" s="34" t="s">
        <v>54</v>
      </c>
      <c r="Y1497" s="33">
        <v>64.29</v>
      </c>
      <c r="AC1497" s="28">
        <v>64.29</v>
      </c>
      <c r="AD1497" s="34" t="s">
        <v>54</v>
      </c>
      <c r="AE1497" s="33">
        <v>64.29</v>
      </c>
      <c r="AN1497" s="7" t="s">
        <v>54</v>
      </c>
      <c r="AO1497" s="7" t="s">
        <v>55</v>
      </c>
      <c r="AP1497" s="7" t="s">
        <v>56</v>
      </c>
      <c r="AT1497" s="47" t="s">
        <v>57</v>
      </c>
      <c r="AU1497" s="47" t="s">
        <v>57</v>
      </c>
    </row>
    <row r="1498" spans="1:47">
      <c r="A1498" s="4" t="s">
        <v>48</v>
      </c>
      <c r="C1498" s="21"/>
      <c r="D1498" s="22" t="s">
        <v>49</v>
      </c>
      <c r="G1498" s="23">
        <v>45102</v>
      </c>
      <c r="H1498" s="24" t="s">
        <v>4438</v>
      </c>
      <c r="J1498" s="28" t="s">
        <v>51</v>
      </c>
      <c r="L1498" s="24" t="s">
        <v>4439</v>
      </c>
      <c r="M1498" s="1" t="str">
        <f>"130823199409087542"</f>
        <v>130823199409087542</v>
      </c>
      <c r="N1498" s="24" t="s">
        <v>4439</v>
      </c>
      <c r="O1498" s="1" t="str">
        <f>"130823199409087542"</f>
        <v>130823199409087542</v>
      </c>
      <c r="P1498" s="23" t="s">
        <v>4440</v>
      </c>
      <c r="Q1498" s="23">
        <v>45103</v>
      </c>
      <c r="R1498" s="32">
        <v>45469</v>
      </c>
      <c r="V1498" s="33">
        <v>100</v>
      </c>
      <c r="W1498" s="28">
        <v>64.29</v>
      </c>
      <c r="X1498" s="34" t="s">
        <v>54</v>
      </c>
      <c r="Y1498" s="33">
        <v>64.29</v>
      </c>
      <c r="AC1498" s="28">
        <v>64.29</v>
      </c>
      <c r="AD1498" s="34" t="s">
        <v>54</v>
      </c>
      <c r="AE1498" s="33">
        <v>64.29</v>
      </c>
      <c r="AN1498" s="7" t="s">
        <v>54</v>
      </c>
      <c r="AO1498" s="7" t="s">
        <v>55</v>
      </c>
      <c r="AP1498" s="7" t="s">
        <v>56</v>
      </c>
      <c r="AT1498" s="47" t="s">
        <v>57</v>
      </c>
      <c r="AU1498" s="47" t="s">
        <v>57</v>
      </c>
    </row>
    <row r="1499" spans="1:47">
      <c r="A1499" s="4" t="s">
        <v>48</v>
      </c>
      <c r="C1499" s="21"/>
      <c r="D1499" s="22" t="s">
        <v>49</v>
      </c>
      <c r="G1499" s="23">
        <v>45092</v>
      </c>
      <c r="H1499" s="24" t="s">
        <v>4441</v>
      </c>
      <c r="J1499" s="28" t="s">
        <v>51</v>
      </c>
      <c r="L1499" s="24" t="s">
        <v>4442</v>
      </c>
      <c r="M1499" s="1" t="str">
        <f>"132821196309290530"</f>
        <v>132821196309290530</v>
      </c>
      <c r="N1499" s="24" t="s">
        <v>4442</v>
      </c>
      <c r="O1499" s="1" t="str">
        <f>"132821196309290530"</f>
        <v>132821196309290530</v>
      </c>
      <c r="P1499" s="23" t="s">
        <v>4443</v>
      </c>
      <c r="Q1499" s="23">
        <v>45108</v>
      </c>
      <c r="R1499" s="32">
        <v>45474</v>
      </c>
      <c r="V1499" s="33">
        <v>100</v>
      </c>
      <c r="W1499" s="28">
        <v>64.29</v>
      </c>
      <c r="X1499" s="34" t="s">
        <v>54</v>
      </c>
      <c r="Y1499" s="33">
        <v>64.29</v>
      </c>
      <c r="AC1499" s="28">
        <v>64.29</v>
      </c>
      <c r="AD1499" s="34" t="s">
        <v>54</v>
      </c>
      <c r="AE1499" s="33">
        <v>64.29</v>
      </c>
      <c r="AN1499" s="7" t="s">
        <v>54</v>
      </c>
      <c r="AO1499" s="7" t="s">
        <v>55</v>
      </c>
      <c r="AP1499" s="7" t="s">
        <v>56</v>
      </c>
      <c r="AT1499" s="47" t="s">
        <v>57</v>
      </c>
      <c r="AU1499" s="47" t="s">
        <v>57</v>
      </c>
    </row>
    <row r="1500" spans="1:47">
      <c r="A1500" s="4" t="s">
        <v>48</v>
      </c>
      <c r="C1500" s="21"/>
      <c r="D1500" s="22" t="s">
        <v>49</v>
      </c>
      <c r="G1500" s="23">
        <v>45092</v>
      </c>
      <c r="H1500" s="24" t="s">
        <v>4444</v>
      </c>
      <c r="J1500" s="28" t="s">
        <v>51</v>
      </c>
      <c r="L1500" s="24" t="s">
        <v>4445</v>
      </c>
      <c r="M1500" s="1" t="str">
        <f>"150402196904280629"</f>
        <v>150402196904280629</v>
      </c>
      <c r="N1500" s="24" t="s">
        <v>4445</v>
      </c>
      <c r="O1500" s="1" t="str">
        <f>"150402196904280629"</f>
        <v>150402196904280629</v>
      </c>
      <c r="P1500" s="23" t="s">
        <v>4446</v>
      </c>
      <c r="Q1500" s="23">
        <v>45209</v>
      </c>
      <c r="R1500" s="32">
        <v>45575</v>
      </c>
      <c r="V1500" s="33">
        <v>100</v>
      </c>
      <c r="W1500" s="28">
        <v>64.29</v>
      </c>
      <c r="X1500" s="34" t="s">
        <v>54</v>
      </c>
      <c r="Y1500" s="33">
        <v>64.29</v>
      </c>
      <c r="AC1500" s="28">
        <v>64.29</v>
      </c>
      <c r="AD1500" s="34" t="s">
        <v>54</v>
      </c>
      <c r="AE1500" s="33">
        <v>64.29</v>
      </c>
      <c r="AN1500" s="7" t="s">
        <v>54</v>
      </c>
      <c r="AO1500" s="7" t="s">
        <v>55</v>
      </c>
      <c r="AP1500" s="7" t="s">
        <v>56</v>
      </c>
      <c r="AT1500" s="47" t="s">
        <v>57</v>
      </c>
      <c r="AU1500" s="47" t="s">
        <v>57</v>
      </c>
    </row>
    <row r="1501" spans="1:47">
      <c r="A1501" s="4" t="s">
        <v>48</v>
      </c>
      <c r="C1501" s="21"/>
      <c r="D1501" s="22" t="s">
        <v>49</v>
      </c>
      <c r="G1501" s="23">
        <v>45092</v>
      </c>
      <c r="H1501" s="24" t="s">
        <v>4447</v>
      </c>
      <c r="J1501" s="28" t="s">
        <v>51</v>
      </c>
      <c r="L1501" s="24" t="s">
        <v>4448</v>
      </c>
      <c r="M1501" s="1" t="str">
        <f>"130123198201170109"</f>
        <v>130123198201170109</v>
      </c>
      <c r="N1501" s="24" t="s">
        <v>4448</v>
      </c>
      <c r="O1501" s="1" t="str">
        <f>"130123198201170109"</f>
        <v>130123198201170109</v>
      </c>
      <c r="P1501" s="23" t="s">
        <v>4449</v>
      </c>
      <c r="Q1501" s="23">
        <v>45093</v>
      </c>
      <c r="R1501" s="32">
        <v>45459</v>
      </c>
      <c r="V1501" s="33">
        <v>100</v>
      </c>
      <c r="W1501" s="28">
        <v>64.29</v>
      </c>
      <c r="X1501" s="34" t="s">
        <v>54</v>
      </c>
      <c r="Y1501" s="33">
        <v>64.29</v>
      </c>
      <c r="AC1501" s="28">
        <v>64.29</v>
      </c>
      <c r="AD1501" s="34" t="s">
        <v>54</v>
      </c>
      <c r="AE1501" s="33">
        <v>64.29</v>
      </c>
      <c r="AN1501" s="7" t="s">
        <v>54</v>
      </c>
      <c r="AO1501" s="7" t="s">
        <v>55</v>
      </c>
      <c r="AP1501" s="7" t="s">
        <v>56</v>
      </c>
      <c r="AT1501" s="47" t="s">
        <v>57</v>
      </c>
      <c r="AU1501" s="47" t="s">
        <v>57</v>
      </c>
    </row>
    <row r="1502" spans="1:47">
      <c r="A1502" s="4" t="s">
        <v>48</v>
      </c>
      <c r="C1502" s="21"/>
      <c r="D1502" s="22" t="s">
        <v>49</v>
      </c>
      <c r="G1502" s="23">
        <v>45082</v>
      </c>
      <c r="H1502" s="24" t="s">
        <v>4450</v>
      </c>
      <c r="J1502" s="28" t="s">
        <v>51</v>
      </c>
      <c r="L1502" s="24" t="s">
        <v>4451</v>
      </c>
      <c r="M1502" s="1" t="str">
        <f>"110223197501114974"</f>
        <v>110223197501114974</v>
      </c>
      <c r="N1502" s="24" t="s">
        <v>4451</v>
      </c>
      <c r="O1502" s="1" t="str">
        <f>"110223197501114974"</f>
        <v>110223197501114974</v>
      </c>
      <c r="P1502" s="23" t="s">
        <v>4452</v>
      </c>
      <c r="Q1502" s="23">
        <v>45261</v>
      </c>
      <c r="R1502" s="32">
        <v>45627</v>
      </c>
      <c r="V1502" s="33">
        <v>100</v>
      </c>
      <c r="W1502" s="28">
        <v>64.29</v>
      </c>
      <c r="X1502" s="34" t="s">
        <v>54</v>
      </c>
      <c r="Y1502" s="33">
        <v>64.29</v>
      </c>
      <c r="AC1502" s="28">
        <v>64.29</v>
      </c>
      <c r="AD1502" s="34" t="s">
        <v>54</v>
      </c>
      <c r="AE1502" s="33">
        <v>64.29</v>
      </c>
      <c r="AN1502" s="7" t="s">
        <v>54</v>
      </c>
      <c r="AO1502" s="7" t="s">
        <v>55</v>
      </c>
      <c r="AP1502" s="7" t="s">
        <v>56</v>
      </c>
      <c r="AT1502" s="47" t="s">
        <v>57</v>
      </c>
      <c r="AU1502" s="47" t="s">
        <v>57</v>
      </c>
    </row>
    <row r="1503" spans="1:47">
      <c r="A1503" s="4" t="s">
        <v>48</v>
      </c>
      <c r="C1503" s="21"/>
      <c r="D1503" s="22" t="s">
        <v>49</v>
      </c>
      <c r="G1503" s="23">
        <v>45081</v>
      </c>
      <c r="H1503" s="24" t="s">
        <v>4453</v>
      </c>
      <c r="J1503" s="28" t="s">
        <v>51</v>
      </c>
      <c r="L1503" s="24" t="s">
        <v>4454</v>
      </c>
      <c r="M1503" s="1" t="str">
        <f>"130425198909137127"</f>
        <v>130425198909137127</v>
      </c>
      <c r="N1503" s="24" t="s">
        <v>4454</v>
      </c>
      <c r="O1503" s="1" t="str">
        <f>"130425198909137127"</f>
        <v>130425198909137127</v>
      </c>
      <c r="P1503" s="23" t="s">
        <v>4455</v>
      </c>
      <c r="Q1503" s="23">
        <v>45082</v>
      </c>
      <c r="R1503" s="32">
        <v>45448</v>
      </c>
      <c r="V1503" s="33">
        <v>100</v>
      </c>
      <c r="W1503" s="28">
        <v>64.29</v>
      </c>
      <c r="X1503" s="34" t="s">
        <v>54</v>
      </c>
      <c r="Y1503" s="33">
        <v>64.29</v>
      </c>
      <c r="AC1503" s="28">
        <v>64.29</v>
      </c>
      <c r="AD1503" s="34" t="s">
        <v>54</v>
      </c>
      <c r="AE1503" s="33">
        <v>64.29</v>
      </c>
      <c r="AN1503" s="7" t="s">
        <v>54</v>
      </c>
      <c r="AO1503" s="7" t="s">
        <v>55</v>
      </c>
      <c r="AP1503" s="7" t="s">
        <v>56</v>
      </c>
      <c r="AT1503" s="47" t="s">
        <v>57</v>
      </c>
      <c r="AU1503" s="47" t="s">
        <v>57</v>
      </c>
    </row>
    <row r="1504" spans="1:47">
      <c r="A1504" s="4" t="s">
        <v>48</v>
      </c>
      <c r="C1504" s="21"/>
      <c r="D1504" s="22" t="s">
        <v>49</v>
      </c>
      <c r="G1504" s="23">
        <v>45082</v>
      </c>
      <c r="H1504" s="24" t="s">
        <v>4456</v>
      </c>
      <c r="J1504" s="28" t="s">
        <v>51</v>
      </c>
      <c r="L1504" s="24" t="s">
        <v>4457</v>
      </c>
      <c r="M1504" s="1" t="str">
        <f>"370481198401110316"</f>
        <v>370481198401110316</v>
      </c>
      <c r="N1504" s="24" t="s">
        <v>4457</v>
      </c>
      <c r="O1504" s="1" t="str">
        <f>"370481198401110316"</f>
        <v>370481198401110316</v>
      </c>
      <c r="P1504" s="23" t="s">
        <v>4458</v>
      </c>
      <c r="Q1504" s="23">
        <v>45236</v>
      </c>
      <c r="R1504" s="32">
        <v>45602</v>
      </c>
      <c r="V1504" s="33">
        <v>100</v>
      </c>
      <c r="W1504" s="28">
        <v>64.29</v>
      </c>
      <c r="X1504" s="34" t="s">
        <v>54</v>
      </c>
      <c r="Y1504" s="33">
        <v>64.29</v>
      </c>
      <c r="AC1504" s="28">
        <v>64.29</v>
      </c>
      <c r="AD1504" s="34" t="s">
        <v>54</v>
      </c>
      <c r="AE1504" s="33">
        <v>64.29</v>
      </c>
      <c r="AN1504" s="7" t="s">
        <v>54</v>
      </c>
      <c r="AO1504" s="7" t="s">
        <v>55</v>
      </c>
      <c r="AP1504" s="7" t="s">
        <v>56</v>
      </c>
      <c r="AT1504" s="47" t="s">
        <v>57</v>
      </c>
      <c r="AU1504" s="47" t="s">
        <v>57</v>
      </c>
    </row>
    <row r="1505" spans="1:47">
      <c r="A1505" s="4" t="s">
        <v>48</v>
      </c>
      <c r="C1505" s="21"/>
      <c r="D1505" s="22" t="s">
        <v>49</v>
      </c>
      <c r="G1505" s="23">
        <v>45082</v>
      </c>
      <c r="H1505" s="24" t="s">
        <v>4459</v>
      </c>
      <c r="J1505" s="28" t="s">
        <v>51</v>
      </c>
      <c r="L1505" s="24" t="s">
        <v>4460</v>
      </c>
      <c r="M1505" s="1" t="str">
        <f>"37062819680504292X"</f>
        <v>37062819680504292X</v>
      </c>
      <c r="N1505" s="24" t="s">
        <v>4460</v>
      </c>
      <c r="O1505" s="1" t="str">
        <f>"37062819680504292X"</f>
        <v>37062819680504292X</v>
      </c>
      <c r="P1505" s="23" t="s">
        <v>4461</v>
      </c>
      <c r="Q1505" s="23">
        <v>45293</v>
      </c>
      <c r="R1505" s="32">
        <v>45659</v>
      </c>
      <c r="V1505" s="33">
        <v>100</v>
      </c>
      <c r="W1505" s="28">
        <v>64.29</v>
      </c>
      <c r="X1505" s="34" t="s">
        <v>54</v>
      </c>
      <c r="Y1505" s="33">
        <v>64.29</v>
      </c>
      <c r="AC1505" s="28">
        <v>64.29</v>
      </c>
      <c r="AD1505" s="34" t="s">
        <v>54</v>
      </c>
      <c r="AE1505" s="33">
        <v>64.29</v>
      </c>
      <c r="AN1505" s="7" t="s">
        <v>54</v>
      </c>
      <c r="AO1505" s="7" t="s">
        <v>55</v>
      </c>
      <c r="AP1505" s="7" t="s">
        <v>56</v>
      </c>
      <c r="AT1505" s="47" t="s">
        <v>57</v>
      </c>
      <c r="AU1505" s="47" t="s">
        <v>57</v>
      </c>
    </row>
    <row r="1506" spans="1:47">
      <c r="A1506" s="4" t="s">
        <v>48</v>
      </c>
      <c r="C1506" s="21"/>
      <c r="D1506" s="22" t="s">
        <v>49</v>
      </c>
      <c r="G1506" s="23">
        <v>45082</v>
      </c>
      <c r="H1506" s="24" t="s">
        <v>4462</v>
      </c>
      <c r="J1506" s="28" t="s">
        <v>51</v>
      </c>
      <c r="L1506" s="24" t="s">
        <v>4463</v>
      </c>
      <c r="M1506" s="1" t="str">
        <f>"372831196903120021"</f>
        <v>372831196903120021</v>
      </c>
      <c r="N1506" s="24" t="s">
        <v>4463</v>
      </c>
      <c r="O1506" s="1" t="str">
        <f>"372831196903120021"</f>
        <v>372831196903120021</v>
      </c>
      <c r="P1506" s="23" t="s">
        <v>4464</v>
      </c>
      <c r="Q1506" s="23">
        <v>45166</v>
      </c>
      <c r="R1506" s="32">
        <v>45532</v>
      </c>
      <c r="V1506" s="33">
        <v>100</v>
      </c>
      <c r="W1506" s="28">
        <v>64.29</v>
      </c>
      <c r="X1506" s="34" t="s">
        <v>54</v>
      </c>
      <c r="Y1506" s="33">
        <v>64.29</v>
      </c>
      <c r="AC1506" s="28">
        <v>64.29</v>
      </c>
      <c r="AD1506" s="34" t="s">
        <v>54</v>
      </c>
      <c r="AE1506" s="33">
        <v>64.29</v>
      </c>
      <c r="AN1506" s="7" t="s">
        <v>54</v>
      </c>
      <c r="AO1506" s="7" t="s">
        <v>55</v>
      </c>
      <c r="AP1506" s="7" t="s">
        <v>56</v>
      </c>
      <c r="AT1506" s="47" t="s">
        <v>57</v>
      </c>
      <c r="AU1506" s="47" t="s">
        <v>57</v>
      </c>
    </row>
    <row r="1507" spans="1:47">
      <c r="A1507" s="4" t="s">
        <v>48</v>
      </c>
      <c r="C1507" s="21"/>
      <c r="D1507" s="22" t="s">
        <v>49</v>
      </c>
      <c r="G1507" s="23">
        <v>45082</v>
      </c>
      <c r="H1507" s="24" t="s">
        <v>4465</v>
      </c>
      <c r="J1507" s="28" t="s">
        <v>51</v>
      </c>
      <c r="L1507" s="24" t="s">
        <v>4466</v>
      </c>
      <c r="M1507" s="1" t="str">
        <f>"131082197508123009"</f>
        <v>131082197508123009</v>
      </c>
      <c r="N1507" s="24" t="s">
        <v>4466</v>
      </c>
      <c r="O1507" s="1" t="str">
        <f>"131082197508123009"</f>
        <v>131082197508123009</v>
      </c>
      <c r="P1507" s="23" t="s">
        <v>4467</v>
      </c>
      <c r="Q1507" s="23">
        <v>45097</v>
      </c>
      <c r="R1507" s="32">
        <v>45463</v>
      </c>
      <c r="V1507" s="33">
        <v>100</v>
      </c>
      <c r="W1507" s="28">
        <v>64.29</v>
      </c>
      <c r="X1507" s="34" t="s">
        <v>54</v>
      </c>
      <c r="Y1507" s="33">
        <v>64.29</v>
      </c>
      <c r="AC1507" s="28">
        <v>64.29</v>
      </c>
      <c r="AD1507" s="34" t="s">
        <v>54</v>
      </c>
      <c r="AE1507" s="33">
        <v>64.29</v>
      </c>
      <c r="AN1507" s="7" t="s">
        <v>54</v>
      </c>
      <c r="AO1507" s="7" t="s">
        <v>55</v>
      </c>
      <c r="AP1507" s="7" t="s">
        <v>56</v>
      </c>
      <c r="AT1507" s="47" t="s">
        <v>57</v>
      </c>
      <c r="AU1507" s="47" t="s">
        <v>57</v>
      </c>
    </row>
    <row r="1508" spans="1:47">
      <c r="A1508" s="4" t="s">
        <v>48</v>
      </c>
      <c r="C1508" s="21"/>
      <c r="D1508" s="22" t="s">
        <v>49</v>
      </c>
      <c r="G1508" s="23">
        <v>45087</v>
      </c>
      <c r="H1508" s="24" t="s">
        <v>4468</v>
      </c>
      <c r="J1508" s="28" t="s">
        <v>51</v>
      </c>
      <c r="L1508" s="24" t="s">
        <v>4469</v>
      </c>
      <c r="M1508" s="1" t="str">
        <f>"120222196401297815"</f>
        <v>120222196401297815</v>
      </c>
      <c r="N1508" s="24" t="s">
        <v>4469</v>
      </c>
      <c r="O1508" s="1" t="str">
        <f>"120222196401297815"</f>
        <v>120222196401297815</v>
      </c>
      <c r="P1508" s="23" t="s">
        <v>4470</v>
      </c>
      <c r="Q1508" s="23">
        <v>45088</v>
      </c>
      <c r="R1508" s="32">
        <v>45454</v>
      </c>
      <c r="V1508" s="33">
        <v>200</v>
      </c>
      <c r="W1508" s="28">
        <v>64.29</v>
      </c>
      <c r="X1508" s="34" t="s">
        <v>54</v>
      </c>
      <c r="Y1508" s="33">
        <v>128.58</v>
      </c>
      <c r="AC1508" s="28">
        <v>64.29</v>
      </c>
      <c r="AD1508" s="34" t="s">
        <v>54</v>
      </c>
      <c r="AE1508" s="33">
        <v>128.58</v>
      </c>
      <c r="AN1508" s="7" t="s">
        <v>54</v>
      </c>
      <c r="AO1508" s="7" t="s">
        <v>55</v>
      </c>
      <c r="AP1508" s="7" t="s">
        <v>56</v>
      </c>
      <c r="AT1508" s="47" t="s">
        <v>57</v>
      </c>
      <c r="AU1508" s="47" t="s">
        <v>57</v>
      </c>
    </row>
    <row r="1509" spans="1:47">
      <c r="A1509" s="4" t="s">
        <v>48</v>
      </c>
      <c r="C1509" s="21"/>
      <c r="D1509" s="22" t="s">
        <v>49</v>
      </c>
      <c r="G1509" s="23">
        <v>45085</v>
      </c>
      <c r="H1509" s="24" t="s">
        <v>4471</v>
      </c>
      <c r="J1509" s="28" t="s">
        <v>51</v>
      </c>
      <c r="L1509" s="24" t="s">
        <v>4472</v>
      </c>
      <c r="M1509" s="1" t="str">
        <f>"341221198503267320"</f>
        <v>341221198503267320</v>
      </c>
      <c r="N1509" s="24" t="s">
        <v>4472</v>
      </c>
      <c r="O1509" s="1" t="str">
        <f>"341221198503267320"</f>
        <v>341221198503267320</v>
      </c>
      <c r="P1509" s="23" t="s">
        <v>4473</v>
      </c>
      <c r="Q1509" s="23">
        <v>45170</v>
      </c>
      <c r="R1509" s="32">
        <v>45536</v>
      </c>
      <c r="V1509" s="33">
        <v>200</v>
      </c>
      <c r="W1509" s="28">
        <v>64.29</v>
      </c>
      <c r="X1509" s="34" t="s">
        <v>54</v>
      </c>
      <c r="Y1509" s="33">
        <v>128.58</v>
      </c>
      <c r="AC1509" s="28">
        <v>64.29</v>
      </c>
      <c r="AD1509" s="34" t="s">
        <v>54</v>
      </c>
      <c r="AE1509" s="33">
        <v>128.58</v>
      </c>
      <c r="AN1509" s="7" t="s">
        <v>54</v>
      </c>
      <c r="AO1509" s="7" t="s">
        <v>55</v>
      </c>
      <c r="AP1509" s="7" t="s">
        <v>56</v>
      </c>
      <c r="AT1509" s="47" t="s">
        <v>57</v>
      </c>
      <c r="AU1509" s="47" t="s">
        <v>57</v>
      </c>
    </row>
    <row r="1510" spans="1:47">
      <c r="A1510" s="4" t="s">
        <v>48</v>
      </c>
      <c r="C1510" s="21"/>
      <c r="D1510" s="22" t="s">
        <v>49</v>
      </c>
      <c r="G1510" s="23">
        <v>45087</v>
      </c>
      <c r="H1510" s="24" t="s">
        <v>4474</v>
      </c>
      <c r="J1510" s="28" t="s">
        <v>51</v>
      </c>
      <c r="L1510" s="24" t="s">
        <v>4475</v>
      </c>
      <c r="M1510" s="1" t="str">
        <f>"341225199506026039"</f>
        <v>341225199506026039</v>
      </c>
      <c r="N1510" s="24" t="s">
        <v>4475</v>
      </c>
      <c r="O1510" s="1" t="str">
        <f>"341225199506026039"</f>
        <v>341225199506026039</v>
      </c>
      <c r="P1510" s="23" t="s">
        <v>4476</v>
      </c>
      <c r="Q1510" s="23">
        <v>45088</v>
      </c>
      <c r="R1510" s="32">
        <v>45454</v>
      </c>
      <c r="V1510" s="33">
        <v>200</v>
      </c>
      <c r="W1510" s="28">
        <v>64.29</v>
      </c>
      <c r="X1510" s="34" t="s">
        <v>54</v>
      </c>
      <c r="Y1510" s="33">
        <v>128.58</v>
      </c>
      <c r="AC1510" s="28">
        <v>64.29</v>
      </c>
      <c r="AD1510" s="34" t="s">
        <v>54</v>
      </c>
      <c r="AE1510" s="33">
        <v>128.58</v>
      </c>
      <c r="AN1510" s="7" t="s">
        <v>54</v>
      </c>
      <c r="AO1510" s="7" t="s">
        <v>55</v>
      </c>
      <c r="AP1510" s="7" t="s">
        <v>56</v>
      </c>
      <c r="AT1510" s="47" t="s">
        <v>57</v>
      </c>
      <c r="AU1510" s="47" t="s">
        <v>57</v>
      </c>
    </row>
    <row r="1511" spans="1:47">
      <c r="A1511" s="4" t="s">
        <v>48</v>
      </c>
      <c r="C1511" s="21"/>
      <c r="D1511" s="22" t="s">
        <v>49</v>
      </c>
      <c r="G1511" s="23">
        <v>45102</v>
      </c>
      <c r="H1511" s="24" t="s">
        <v>4477</v>
      </c>
      <c r="J1511" s="28" t="s">
        <v>51</v>
      </c>
      <c r="L1511" s="24" t="s">
        <v>4478</v>
      </c>
      <c r="M1511" s="1" t="str">
        <f>"342123198201208518"</f>
        <v>342123198201208518</v>
      </c>
      <c r="N1511" s="24" t="s">
        <v>4478</v>
      </c>
      <c r="O1511" s="1" t="str">
        <f>"342123198201208518"</f>
        <v>342123198201208518</v>
      </c>
      <c r="P1511" s="23" t="s">
        <v>4479</v>
      </c>
      <c r="Q1511" s="23">
        <v>45114</v>
      </c>
      <c r="R1511" s="32">
        <v>45480</v>
      </c>
      <c r="V1511" s="33">
        <v>100</v>
      </c>
      <c r="W1511" s="28">
        <v>64.29</v>
      </c>
      <c r="X1511" s="34" t="s">
        <v>54</v>
      </c>
      <c r="Y1511" s="33">
        <v>64.29</v>
      </c>
      <c r="AC1511" s="28">
        <v>64.29</v>
      </c>
      <c r="AD1511" s="34" t="s">
        <v>54</v>
      </c>
      <c r="AE1511" s="33">
        <v>64.29</v>
      </c>
      <c r="AN1511" s="7" t="s">
        <v>54</v>
      </c>
      <c r="AO1511" s="7" t="s">
        <v>55</v>
      </c>
      <c r="AP1511" s="7" t="s">
        <v>56</v>
      </c>
      <c r="AT1511" s="47" t="s">
        <v>57</v>
      </c>
      <c r="AU1511" s="47" t="s">
        <v>57</v>
      </c>
    </row>
    <row r="1512" spans="1:47">
      <c r="A1512" s="4" t="s">
        <v>48</v>
      </c>
      <c r="C1512" s="21"/>
      <c r="D1512" s="22" t="s">
        <v>49</v>
      </c>
      <c r="G1512" s="23">
        <v>45102</v>
      </c>
      <c r="H1512" s="24" t="s">
        <v>4480</v>
      </c>
      <c r="J1512" s="28" t="s">
        <v>51</v>
      </c>
      <c r="L1512" s="24" t="s">
        <v>4481</v>
      </c>
      <c r="M1512" s="1" t="str">
        <f>"370634199008060026"</f>
        <v>370634199008060026</v>
      </c>
      <c r="N1512" s="24" t="s">
        <v>4481</v>
      </c>
      <c r="O1512" s="1" t="str">
        <f>"370634199008060026"</f>
        <v>370634199008060026</v>
      </c>
      <c r="P1512" s="23" t="s">
        <v>4482</v>
      </c>
      <c r="Q1512" s="23">
        <v>45291</v>
      </c>
      <c r="R1512" s="32">
        <v>45657</v>
      </c>
      <c r="V1512" s="33">
        <v>100</v>
      </c>
      <c r="W1512" s="28">
        <v>64.29</v>
      </c>
      <c r="X1512" s="34" t="s">
        <v>54</v>
      </c>
      <c r="Y1512" s="33">
        <v>64.29</v>
      </c>
      <c r="AC1512" s="28">
        <v>64.29</v>
      </c>
      <c r="AD1512" s="34" t="s">
        <v>54</v>
      </c>
      <c r="AE1512" s="33">
        <v>64.29</v>
      </c>
      <c r="AN1512" s="7" t="s">
        <v>54</v>
      </c>
      <c r="AO1512" s="7" t="s">
        <v>55</v>
      </c>
      <c r="AP1512" s="7" t="s">
        <v>56</v>
      </c>
      <c r="AT1512" s="47" t="s">
        <v>57</v>
      </c>
      <c r="AU1512" s="47" t="s">
        <v>57</v>
      </c>
    </row>
    <row r="1513" spans="1:47">
      <c r="A1513" s="4" t="s">
        <v>48</v>
      </c>
      <c r="C1513" s="21"/>
      <c r="D1513" s="22" t="s">
        <v>49</v>
      </c>
      <c r="G1513" s="23">
        <v>45102</v>
      </c>
      <c r="H1513" s="24" t="s">
        <v>4483</v>
      </c>
      <c r="J1513" s="28" t="s">
        <v>51</v>
      </c>
      <c r="L1513" s="24" t="s">
        <v>4484</v>
      </c>
      <c r="M1513" s="1" t="str">
        <f>"131024198811010024"</f>
        <v>131024198811010024</v>
      </c>
      <c r="N1513" s="24" t="s">
        <v>4484</v>
      </c>
      <c r="O1513" s="1" t="str">
        <f>"131024198811010024"</f>
        <v>131024198811010024</v>
      </c>
      <c r="P1513" s="23" t="s">
        <v>4485</v>
      </c>
      <c r="Q1513" s="23">
        <v>45103</v>
      </c>
      <c r="R1513" s="32">
        <v>45469</v>
      </c>
      <c r="V1513" s="33">
        <v>100</v>
      </c>
      <c r="W1513" s="28">
        <v>64.29</v>
      </c>
      <c r="X1513" s="34" t="s">
        <v>54</v>
      </c>
      <c r="Y1513" s="33">
        <v>64.29</v>
      </c>
      <c r="AC1513" s="28">
        <v>64.29</v>
      </c>
      <c r="AD1513" s="34" t="s">
        <v>54</v>
      </c>
      <c r="AE1513" s="33">
        <v>64.29</v>
      </c>
      <c r="AN1513" s="7" t="s">
        <v>54</v>
      </c>
      <c r="AO1513" s="7" t="s">
        <v>55</v>
      </c>
      <c r="AP1513" s="7" t="s">
        <v>56</v>
      </c>
      <c r="AT1513" s="47" t="s">
        <v>57</v>
      </c>
      <c r="AU1513" s="47" t="s">
        <v>57</v>
      </c>
    </row>
    <row r="1514" spans="1:47">
      <c r="A1514" s="4" t="s">
        <v>48</v>
      </c>
      <c r="C1514" s="21"/>
      <c r="D1514" s="22" t="s">
        <v>49</v>
      </c>
      <c r="G1514" s="23">
        <v>45102</v>
      </c>
      <c r="H1514" s="24" t="s">
        <v>4486</v>
      </c>
      <c r="J1514" s="28" t="s">
        <v>51</v>
      </c>
      <c r="L1514" s="24" t="s">
        <v>4487</v>
      </c>
      <c r="M1514" s="1" t="str">
        <f>"132821196608018289"</f>
        <v>132821196608018289</v>
      </c>
      <c r="N1514" s="24" t="s">
        <v>4487</v>
      </c>
      <c r="O1514" s="1" t="str">
        <f>"132821196608018289"</f>
        <v>132821196608018289</v>
      </c>
      <c r="P1514" s="23" t="s">
        <v>4488</v>
      </c>
      <c r="Q1514" s="23">
        <v>45114</v>
      </c>
      <c r="R1514" s="32">
        <v>45480</v>
      </c>
      <c r="V1514" s="33">
        <v>100</v>
      </c>
      <c r="W1514" s="28">
        <v>64.29</v>
      </c>
      <c r="X1514" s="34" t="s">
        <v>54</v>
      </c>
      <c r="Y1514" s="33">
        <v>64.29</v>
      </c>
      <c r="AC1514" s="28">
        <v>64.29</v>
      </c>
      <c r="AD1514" s="34" t="s">
        <v>54</v>
      </c>
      <c r="AE1514" s="33">
        <v>64.29</v>
      </c>
      <c r="AN1514" s="7" t="s">
        <v>54</v>
      </c>
      <c r="AO1514" s="7" t="s">
        <v>55</v>
      </c>
      <c r="AP1514" s="7" t="s">
        <v>56</v>
      </c>
      <c r="AT1514" s="47" t="s">
        <v>57</v>
      </c>
      <c r="AU1514" s="47" t="s">
        <v>57</v>
      </c>
    </row>
    <row r="1515" spans="1:47">
      <c r="A1515" s="4" t="s">
        <v>48</v>
      </c>
      <c r="C1515" s="21"/>
      <c r="D1515" s="22" t="s">
        <v>49</v>
      </c>
      <c r="G1515" s="23">
        <v>45098</v>
      </c>
      <c r="H1515" s="24" t="s">
        <v>4489</v>
      </c>
      <c r="J1515" s="28" t="s">
        <v>51</v>
      </c>
      <c r="L1515" s="24" t="s">
        <v>4490</v>
      </c>
      <c r="M1515" s="1" t="str">
        <f>"341202198708150514"</f>
        <v>341202198708150514</v>
      </c>
      <c r="N1515" s="24" t="s">
        <v>4490</v>
      </c>
      <c r="O1515" s="1" t="str">
        <f>"341202198708150514"</f>
        <v>341202198708150514</v>
      </c>
      <c r="P1515" s="23" t="s">
        <v>4491</v>
      </c>
      <c r="Q1515" s="23">
        <v>45112</v>
      </c>
      <c r="R1515" s="32">
        <v>45478</v>
      </c>
      <c r="V1515" s="33">
        <v>100</v>
      </c>
      <c r="W1515" s="28">
        <v>64.29</v>
      </c>
      <c r="X1515" s="34" t="s">
        <v>54</v>
      </c>
      <c r="Y1515" s="33">
        <v>64.29</v>
      </c>
      <c r="AC1515" s="28">
        <v>64.29</v>
      </c>
      <c r="AD1515" s="34" t="s">
        <v>54</v>
      </c>
      <c r="AE1515" s="33">
        <v>64.29</v>
      </c>
      <c r="AN1515" s="7" t="s">
        <v>54</v>
      </c>
      <c r="AO1515" s="7" t="s">
        <v>55</v>
      </c>
      <c r="AP1515" s="7" t="s">
        <v>56</v>
      </c>
      <c r="AT1515" s="47" t="s">
        <v>57</v>
      </c>
      <c r="AU1515" s="47" t="s">
        <v>57</v>
      </c>
    </row>
    <row r="1516" spans="1:47">
      <c r="A1516" s="4" t="s">
        <v>48</v>
      </c>
      <c r="C1516" s="21"/>
      <c r="D1516" s="22" t="s">
        <v>49</v>
      </c>
      <c r="G1516" s="23">
        <v>45098</v>
      </c>
      <c r="H1516" s="24" t="s">
        <v>4492</v>
      </c>
      <c r="J1516" s="28" t="s">
        <v>51</v>
      </c>
      <c r="L1516" s="24" t="s">
        <v>4493</v>
      </c>
      <c r="M1516" s="1" t="str">
        <f>"432928196804110040"</f>
        <v>432928196804110040</v>
      </c>
      <c r="N1516" s="24" t="s">
        <v>4493</v>
      </c>
      <c r="O1516" s="1" t="str">
        <f>"432928196804110040"</f>
        <v>432928196804110040</v>
      </c>
      <c r="P1516" s="23" t="s">
        <v>4494</v>
      </c>
      <c r="Q1516" s="23">
        <v>45282</v>
      </c>
      <c r="R1516" s="32">
        <v>45648</v>
      </c>
      <c r="V1516" s="33">
        <v>100</v>
      </c>
      <c r="W1516" s="28">
        <v>64.29</v>
      </c>
      <c r="X1516" s="34" t="s">
        <v>54</v>
      </c>
      <c r="Y1516" s="33">
        <v>64.29</v>
      </c>
      <c r="AC1516" s="28">
        <v>64.29</v>
      </c>
      <c r="AD1516" s="34" t="s">
        <v>54</v>
      </c>
      <c r="AE1516" s="33">
        <v>64.29</v>
      </c>
      <c r="AN1516" s="7" t="s">
        <v>54</v>
      </c>
      <c r="AO1516" s="7" t="s">
        <v>55</v>
      </c>
      <c r="AP1516" s="7" t="s">
        <v>56</v>
      </c>
      <c r="AT1516" s="47" t="s">
        <v>57</v>
      </c>
      <c r="AU1516" s="47" t="s">
        <v>57</v>
      </c>
    </row>
    <row r="1517" spans="1:47">
      <c r="A1517" s="4" t="s">
        <v>48</v>
      </c>
      <c r="C1517" s="21"/>
      <c r="D1517" s="22" t="s">
        <v>49</v>
      </c>
      <c r="G1517" s="23">
        <v>45102</v>
      </c>
      <c r="H1517" s="24" t="s">
        <v>4495</v>
      </c>
      <c r="J1517" s="28" t="s">
        <v>51</v>
      </c>
      <c r="L1517" s="24" t="s">
        <v>4496</v>
      </c>
      <c r="M1517" s="1" t="str">
        <f>"131082198310062954"</f>
        <v>131082198310062954</v>
      </c>
      <c r="N1517" s="24" t="s">
        <v>4496</v>
      </c>
      <c r="O1517" s="1" t="str">
        <f>"131082198310062954"</f>
        <v>131082198310062954</v>
      </c>
      <c r="P1517" s="23" t="s">
        <v>4497</v>
      </c>
      <c r="Q1517" s="23">
        <v>45103</v>
      </c>
      <c r="R1517" s="32">
        <v>45469</v>
      </c>
      <c r="V1517" s="33">
        <v>100</v>
      </c>
      <c r="W1517" s="28">
        <v>64.29</v>
      </c>
      <c r="X1517" s="34" t="s">
        <v>54</v>
      </c>
      <c r="Y1517" s="33">
        <v>64.29</v>
      </c>
      <c r="AC1517" s="28">
        <v>64.29</v>
      </c>
      <c r="AD1517" s="34" t="s">
        <v>54</v>
      </c>
      <c r="AE1517" s="33">
        <v>64.29</v>
      </c>
      <c r="AN1517" s="7" t="s">
        <v>54</v>
      </c>
      <c r="AO1517" s="7" t="s">
        <v>55</v>
      </c>
      <c r="AP1517" s="7" t="s">
        <v>56</v>
      </c>
      <c r="AT1517" s="47" t="s">
        <v>57</v>
      </c>
      <c r="AU1517" s="47" t="s">
        <v>57</v>
      </c>
    </row>
    <row r="1518" spans="1:47">
      <c r="A1518" s="4" t="s">
        <v>48</v>
      </c>
      <c r="C1518" s="21"/>
      <c r="D1518" s="22" t="s">
        <v>49</v>
      </c>
      <c r="G1518" s="23">
        <v>45102</v>
      </c>
      <c r="H1518" s="24" t="s">
        <v>4498</v>
      </c>
      <c r="J1518" s="28" t="s">
        <v>51</v>
      </c>
      <c r="L1518" s="24" t="s">
        <v>4499</v>
      </c>
      <c r="M1518" s="1" t="str">
        <f>"132821196402218285"</f>
        <v>132821196402218285</v>
      </c>
      <c r="N1518" s="24" t="s">
        <v>4499</v>
      </c>
      <c r="O1518" s="1" t="str">
        <f>"132821196402218285"</f>
        <v>132821196402218285</v>
      </c>
      <c r="P1518" s="23" t="s">
        <v>4500</v>
      </c>
      <c r="Q1518" s="23">
        <v>45103</v>
      </c>
      <c r="R1518" s="32">
        <v>45469</v>
      </c>
      <c r="V1518" s="33">
        <v>100</v>
      </c>
      <c r="W1518" s="28">
        <v>64.29</v>
      </c>
      <c r="X1518" s="34" t="s">
        <v>54</v>
      </c>
      <c r="Y1518" s="33">
        <v>64.29</v>
      </c>
      <c r="AC1518" s="28">
        <v>64.29</v>
      </c>
      <c r="AD1518" s="34" t="s">
        <v>54</v>
      </c>
      <c r="AE1518" s="33">
        <v>64.29</v>
      </c>
      <c r="AN1518" s="7" t="s">
        <v>54</v>
      </c>
      <c r="AO1518" s="7" t="s">
        <v>55</v>
      </c>
      <c r="AP1518" s="7" t="s">
        <v>56</v>
      </c>
      <c r="AT1518" s="47" t="s">
        <v>57</v>
      </c>
      <c r="AU1518" s="47" t="s">
        <v>57</v>
      </c>
    </row>
    <row r="1519" spans="1:47">
      <c r="A1519" s="4" t="s">
        <v>48</v>
      </c>
      <c r="C1519" s="21"/>
      <c r="D1519" s="22" t="s">
        <v>49</v>
      </c>
      <c r="G1519" s="23">
        <v>45092</v>
      </c>
      <c r="H1519" s="24" t="s">
        <v>4501</v>
      </c>
      <c r="J1519" s="28" t="s">
        <v>51</v>
      </c>
      <c r="L1519" s="24" t="s">
        <v>4502</v>
      </c>
      <c r="M1519" s="1" t="str">
        <f>"131082198606184109"</f>
        <v>131082198606184109</v>
      </c>
      <c r="N1519" s="24" t="s">
        <v>4502</v>
      </c>
      <c r="O1519" s="1" t="str">
        <f>"131082198606184109"</f>
        <v>131082198606184109</v>
      </c>
      <c r="P1519" s="23" t="s">
        <v>4503</v>
      </c>
      <c r="Q1519" s="23">
        <v>45123</v>
      </c>
      <c r="R1519" s="32">
        <v>45489</v>
      </c>
      <c r="V1519" s="33">
        <v>100</v>
      </c>
      <c r="W1519" s="28">
        <v>64.29</v>
      </c>
      <c r="X1519" s="34" t="s">
        <v>54</v>
      </c>
      <c r="Y1519" s="33">
        <v>64.29</v>
      </c>
      <c r="AC1519" s="28">
        <v>64.29</v>
      </c>
      <c r="AD1519" s="34" t="s">
        <v>54</v>
      </c>
      <c r="AE1519" s="33">
        <v>64.29</v>
      </c>
      <c r="AN1519" s="7" t="s">
        <v>54</v>
      </c>
      <c r="AO1519" s="7" t="s">
        <v>55</v>
      </c>
      <c r="AP1519" s="7" t="s">
        <v>56</v>
      </c>
      <c r="AT1519" s="47" t="s">
        <v>57</v>
      </c>
      <c r="AU1519" s="47" t="s">
        <v>57</v>
      </c>
    </row>
    <row r="1520" spans="1:47">
      <c r="A1520" s="4" t="s">
        <v>48</v>
      </c>
      <c r="C1520" s="21"/>
      <c r="D1520" s="22" t="s">
        <v>49</v>
      </c>
      <c r="G1520" s="23">
        <v>45092</v>
      </c>
      <c r="H1520" s="24" t="s">
        <v>4504</v>
      </c>
      <c r="J1520" s="28" t="s">
        <v>51</v>
      </c>
      <c r="L1520" s="24" t="s">
        <v>4505</v>
      </c>
      <c r="M1520" s="1" t="str">
        <f>"342129198205106015"</f>
        <v>342129198205106015</v>
      </c>
      <c r="N1520" s="24" t="s">
        <v>4505</v>
      </c>
      <c r="O1520" s="1" t="str">
        <f>"342129198205106015"</f>
        <v>342129198205106015</v>
      </c>
      <c r="P1520" s="23" t="s">
        <v>4506</v>
      </c>
      <c r="Q1520" s="23">
        <v>45184</v>
      </c>
      <c r="R1520" s="32">
        <v>45550</v>
      </c>
      <c r="V1520" s="33">
        <v>100</v>
      </c>
      <c r="W1520" s="28">
        <v>64.29</v>
      </c>
      <c r="X1520" s="34" t="s">
        <v>54</v>
      </c>
      <c r="Y1520" s="33">
        <v>64.29</v>
      </c>
      <c r="AC1520" s="28">
        <v>64.29</v>
      </c>
      <c r="AD1520" s="34" t="s">
        <v>54</v>
      </c>
      <c r="AE1520" s="33">
        <v>64.29</v>
      </c>
      <c r="AN1520" s="7" t="s">
        <v>54</v>
      </c>
      <c r="AO1520" s="7" t="s">
        <v>55</v>
      </c>
      <c r="AP1520" s="7" t="s">
        <v>56</v>
      </c>
      <c r="AT1520" s="47" t="s">
        <v>57</v>
      </c>
      <c r="AU1520" s="47" t="s">
        <v>57</v>
      </c>
    </row>
    <row r="1521" spans="1:47">
      <c r="A1521" s="4" t="s">
        <v>48</v>
      </c>
      <c r="C1521" s="21"/>
      <c r="D1521" s="22" t="s">
        <v>49</v>
      </c>
      <c r="G1521" s="23">
        <v>45091</v>
      </c>
      <c r="H1521" s="24" t="s">
        <v>4507</v>
      </c>
      <c r="J1521" s="28" t="s">
        <v>51</v>
      </c>
      <c r="L1521" s="24" t="s">
        <v>4508</v>
      </c>
      <c r="M1521" s="1" t="str">
        <f>"341221198310183788"</f>
        <v>341221198310183788</v>
      </c>
      <c r="N1521" s="24" t="s">
        <v>4508</v>
      </c>
      <c r="O1521" s="1" t="str">
        <f>"341221198310183788"</f>
        <v>341221198310183788</v>
      </c>
      <c r="P1521" s="23" t="s">
        <v>4509</v>
      </c>
      <c r="Q1521" s="23">
        <v>45092</v>
      </c>
      <c r="R1521" s="32">
        <v>45458</v>
      </c>
      <c r="V1521" s="33">
        <v>100</v>
      </c>
      <c r="W1521" s="28">
        <v>64.29</v>
      </c>
      <c r="X1521" s="34" t="s">
        <v>54</v>
      </c>
      <c r="Y1521" s="33">
        <v>64.29</v>
      </c>
      <c r="AC1521" s="28">
        <v>64.29</v>
      </c>
      <c r="AD1521" s="34" t="s">
        <v>54</v>
      </c>
      <c r="AE1521" s="33">
        <v>64.29</v>
      </c>
      <c r="AN1521" s="7" t="s">
        <v>54</v>
      </c>
      <c r="AO1521" s="7" t="s">
        <v>55</v>
      </c>
      <c r="AP1521" s="7" t="s">
        <v>56</v>
      </c>
      <c r="AT1521" s="47" t="s">
        <v>57</v>
      </c>
      <c r="AU1521" s="47" t="s">
        <v>57</v>
      </c>
    </row>
    <row r="1522" spans="1:47">
      <c r="A1522" s="4" t="s">
        <v>48</v>
      </c>
      <c r="C1522" s="21"/>
      <c r="D1522" s="22" t="s">
        <v>49</v>
      </c>
      <c r="G1522" s="23">
        <v>45091</v>
      </c>
      <c r="H1522" s="24" t="s">
        <v>4510</v>
      </c>
      <c r="J1522" s="28" t="s">
        <v>51</v>
      </c>
      <c r="L1522" s="24" t="s">
        <v>4511</v>
      </c>
      <c r="M1522" s="1" t="str">
        <f>"131082197502155835"</f>
        <v>131082197502155835</v>
      </c>
      <c r="N1522" s="24" t="s">
        <v>4511</v>
      </c>
      <c r="O1522" s="1" t="str">
        <f>"131082197502155835"</f>
        <v>131082197502155835</v>
      </c>
      <c r="P1522" s="23" t="s">
        <v>4512</v>
      </c>
      <c r="Q1522" s="23">
        <v>45092</v>
      </c>
      <c r="R1522" s="32">
        <v>45458</v>
      </c>
      <c r="V1522" s="33">
        <v>100</v>
      </c>
      <c r="W1522" s="28">
        <v>64.29</v>
      </c>
      <c r="X1522" s="34" t="s">
        <v>54</v>
      </c>
      <c r="Y1522" s="33">
        <v>64.29</v>
      </c>
      <c r="AC1522" s="28">
        <v>64.29</v>
      </c>
      <c r="AD1522" s="34" t="s">
        <v>54</v>
      </c>
      <c r="AE1522" s="33">
        <v>64.29</v>
      </c>
      <c r="AN1522" s="7" t="s">
        <v>54</v>
      </c>
      <c r="AO1522" s="7" t="s">
        <v>55</v>
      </c>
      <c r="AP1522" s="7" t="s">
        <v>56</v>
      </c>
      <c r="AT1522" s="47" t="s">
        <v>57</v>
      </c>
      <c r="AU1522" s="47" t="s">
        <v>57</v>
      </c>
    </row>
    <row r="1523" spans="1:47">
      <c r="A1523" s="4" t="s">
        <v>48</v>
      </c>
      <c r="C1523" s="21"/>
      <c r="D1523" s="22" t="s">
        <v>49</v>
      </c>
      <c r="G1523" s="23">
        <v>45092</v>
      </c>
      <c r="H1523" s="24" t="s">
        <v>4513</v>
      </c>
      <c r="J1523" s="28" t="s">
        <v>51</v>
      </c>
      <c r="L1523" s="24" t="s">
        <v>4514</v>
      </c>
      <c r="M1523" s="1" t="str">
        <f>"341225199803063979"</f>
        <v>341225199803063979</v>
      </c>
      <c r="N1523" s="24" t="s">
        <v>4514</v>
      </c>
      <c r="O1523" s="1" t="str">
        <f>"341225199803063979"</f>
        <v>341225199803063979</v>
      </c>
      <c r="P1523" s="23" t="s">
        <v>4515</v>
      </c>
      <c r="Q1523" s="23">
        <v>45093</v>
      </c>
      <c r="R1523" s="32">
        <v>45459</v>
      </c>
      <c r="V1523" s="33">
        <v>100</v>
      </c>
      <c r="W1523" s="28">
        <v>64.29</v>
      </c>
      <c r="X1523" s="34" t="s">
        <v>54</v>
      </c>
      <c r="Y1523" s="33">
        <v>64.29</v>
      </c>
      <c r="AC1523" s="28">
        <v>64.29</v>
      </c>
      <c r="AD1523" s="34" t="s">
        <v>54</v>
      </c>
      <c r="AE1523" s="33">
        <v>64.29</v>
      </c>
      <c r="AN1523" s="7" t="s">
        <v>54</v>
      </c>
      <c r="AO1523" s="7" t="s">
        <v>55</v>
      </c>
      <c r="AP1523" s="7" t="s">
        <v>56</v>
      </c>
      <c r="AT1523" s="47" t="s">
        <v>57</v>
      </c>
      <c r="AU1523" s="47" t="s">
        <v>57</v>
      </c>
    </row>
    <row r="1524" spans="1:47">
      <c r="A1524" s="4" t="s">
        <v>48</v>
      </c>
      <c r="C1524" s="21"/>
      <c r="D1524" s="22" t="s">
        <v>49</v>
      </c>
      <c r="G1524" s="23">
        <v>45082</v>
      </c>
      <c r="H1524" s="24" t="s">
        <v>4516</v>
      </c>
      <c r="J1524" s="28" t="s">
        <v>51</v>
      </c>
      <c r="L1524" s="24" t="s">
        <v>4517</v>
      </c>
      <c r="M1524" s="1" t="str">
        <f>"132821196508210273"</f>
        <v>132821196508210273</v>
      </c>
      <c r="N1524" s="24" t="s">
        <v>4517</v>
      </c>
      <c r="O1524" s="1" t="str">
        <f>"132821196508210273"</f>
        <v>132821196508210273</v>
      </c>
      <c r="P1524" s="23" t="s">
        <v>4518</v>
      </c>
      <c r="Q1524" s="23">
        <v>45175</v>
      </c>
      <c r="R1524" s="32">
        <v>45541</v>
      </c>
      <c r="V1524" s="33">
        <v>100</v>
      </c>
      <c r="W1524" s="28">
        <v>64.29</v>
      </c>
      <c r="X1524" s="34" t="s">
        <v>54</v>
      </c>
      <c r="Y1524" s="33">
        <v>64.29</v>
      </c>
      <c r="AC1524" s="28">
        <v>64.29</v>
      </c>
      <c r="AD1524" s="34" t="s">
        <v>54</v>
      </c>
      <c r="AE1524" s="33">
        <v>64.29</v>
      </c>
      <c r="AN1524" s="7" t="s">
        <v>54</v>
      </c>
      <c r="AO1524" s="7" t="s">
        <v>55</v>
      </c>
      <c r="AP1524" s="7" t="s">
        <v>56</v>
      </c>
      <c r="AT1524" s="47" t="s">
        <v>57</v>
      </c>
      <c r="AU1524" s="47" t="s">
        <v>57</v>
      </c>
    </row>
    <row r="1525" spans="1:47">
      <c r="A1525" s="4" t="s">
        <v>48</v>
      </c>
      <c r="C1525" s="21"/>
      <c r="D1525" s="22" t="s">
        <v>49</v>
      </c>
      <c r="G1525" s="23">
        <v>45079</v>
      </c>
      <c r="H1525" s="24" t="s">
        <v>4519</v>
      </c>
      <c r="J1525" s="28" t="s">
        <v>51</v>
      </c>
      <c r="L1525" s="24" t="s">
        <v>4520</v>
      </c>
      <c r="M1525" s="1" t="str">
        <f>"411422198408160619"</f>
        <v>411422198408160619</v>
      </c>
      <c r="N1525" s="24" t="s">
        <v>4520</v>
      </c>
      <c r="O1525" s="1" t="str">
        <f>"411422198408160619"</f>
        <v>411422198408160619</v>
      </c>
      <c r="P1525" s="23" t="s">
        <v>4521</v>
      </c>
      <c r="Q1525" s="23">
        <v>45080</v>
      </c>
      <c r="R1525" s="32">
        <v>45446</v>
      </c>
      <c r="V1525" s="33">
        <v>100</v>
      </c>
      <c r="W1525" s="28">
        <v>64.29</v>
      </c>
      <c r="X1525" s="34" t="s">
        <v>54</v>
      </c>
      <c r="Y1525" s="33">
        <v>64.29</v>
      </c>
      <c r="AC1525" s="28">
        <v>64.29</v>
      </c>
      <c r="AD1525" s="34" t="s">
        <v>54</v>
      </c>
      <c r="AE1525" s="33">
        <v>64.29</v>
      </c>
      <c r="AN1525" s="7" t="s">
        <v>54</v>
      </c>
      <c r="AO1525" s="7" t="s">
        <v>55</v>
      </c>
      <c r="AP1525" s="7" t="s">
        <v>56</v>
      </c>
      <c r="AT1525" s="47" t="s">
        <v>57</v>
      </c>
      <c r="AU1525" s="47" t="s">
        <v>57</v>
      </c>
    </row>
    <row r="1526" spans="1:47">
      <c r="A1526" s="4" t="s">
        <v>48</v>
      </c>
      <c r="C1526" s="21"/>
      <c r="D1526" s="22" t="s">
        <v>49</v>
      </c>
      <c r="G1526" s="23">
        <v>45081</v>
      </c>
      <c r="H1526" s="24" t="s">
        <v>4522</v>
      </c>
      <c r="J1526" s="28" t="s">
        <v>51</v>
      </c>
      <c r="L1526" s="24" t="s">
        <v>4523</v>
      </c>
      <c r="M1526" s="1" t="str">
        <f>"131082198001281512"</f>
        <v>131082198001281512</v>
      </c>
      <c r="N1526" s="24" t="s">
        <v>4523</v>
      </c>
      <c r="O1526" s="1" t="str">
        <f>"131082198001281512"</f>
        <v>131082198001281512</v>
      </c>
      <c r="P1526" s="23" t="s">
        <v>4524</v>
      </c>
      <c r="Q1526" s="23">
        <v>45291</v>
      </c>
      <c r="R1526" s="32">
        <v>45657</v>
      </c>
      <c r="V1526" s="33">
        <v>100</v>
      </c>
      <c r="W1526" s="28">
        <v>64.29</v>
      </c>
      <c r="X1526" s="34" t="s">
        <v>54</v>
      </c>
      <c r="Y1526" s="33">
        <v>64.29</v>
      </c>
      <c r="AC1526" s="28">
        <v>64.29</v>
      </c>
      <c r="AD1526" s="34" t="s">
        <v>54</v>
      </c>
      <c r="AE1526" s="33">
        <v>64.29</v>
      </c>
      <c r="AN1526" s="7" t="s">
        <v>54</v>
      </c>
      <c r="AO1526" s="7" t="s">
        <v>55</v>
      </c>
      <c r="AP1526" s="7" t="s">
        <v>56</v>
      </c>
      <c r="AT1526" s="47" t="s">
        <v>57</v>
      </c>
      <c r="AU1526" s="47" t="s">
        <v>57</v>
      </c>
    </row>
    <row r="1527" spans="1:47">
      <c r="A1527" s="4" t="s">
        <v>48</v>
      </c>
      <c r="C1527" s="21"/>
      <c r="D1527" s="22" t="s">
        <v>49</v>
      </c>
      <c r="G1527" s="23">
        <v>45079</v>
      </c>
      <c r="H1527" s="24" t="s">
        <v>4525</v>
      </c>
      <c r="J1527" s="28" t="s">
        <v>51</v>
      </c>
      <c r="L1527" s="24" t="s">
        <v>4526</v>
      </c>
      <c r="M1527" s="1" t="str">
        <f>"341225199310188925"</f>
        <v>341225199310188925</v>
      </c>
      <c r="N1527" s="24" t="s">
        <v>4526</v>
      </c>
      <c r="O1527" s="1" t="str">
        <f>"341225199310188925"</f>
        <v>341225199310188925</v>
      </c>
      <c r="P1527" s="23" t="s">
        <v>4527</v>
      </c>
      <c r="Q1527" s="23">
        <v>45080</v>
      </c>
      <c r="R1527" s="32">
        <v>45446</v>
      </c>
      <c r="V1527" s="33">
        <v>100</v>
      </c>
      <c r="W1527" s="28">
        <v>64.29</v>
      </c>
      <c r="X1527" s="34" t="s">
        <v>54</v>
      </c>
      <c r="Y1527" s="33">
        <v>64.29</v>
      </c>
      <c r="AC1527" s="28">
        <v>64.29</v>
      </c>
      <c r="AD1527" s="34" t="s">
        <v>54</v>
      </c>
      <c r="AE1527" s="33">
        <v>64.29</v>
      </c>
      <c r="AN1527" s="7" t="s">
        <v>54</v>
      </c>
      <c r="AO1527" s="7" t="s">
        <v>55</v>
      </c>
      <c r="AP1527" s="7" t="s">
        <v>56</v>
      </c>
      <c r="AT1527" s="47" t="s">
        <v>57</v>
      </c>
      <c r="AU1527" s="47" t="s">
        <v>57</v>
      </c>
    </row>
    <row r="1528" spans="1:47">
      <c r="A1528" s="4" t="s">
        <v>48</v>
      </c>
      <c r="C1528" s="21"/>
      <c r="D1528" s="22" t="s">
        <v>49</v>
      </c>
      <c r="G1528" s="23">
        <v>45080</v>
      </c>
      <c r="H1528" s="24" t="s">
        <v>4528</v>
      </c>
      <c r="J1528" s="28" t="s">
        <v>51</v>
      </c>
      <c r="L1528" s="24" t="s">
        <v>4529</v>
      </c>
      <c r="M1528" s="1" t="str">
        <f>"342122194507080305"</f>
        <v>342122194507080305</v>
      </c>
      <c r="N1528" s="24" t="s">
        <v>4529</v>
      </c>
      <c r="O1528" s="1" t="str">
        <f>"342122194507080305"</f>
        <v>342122194507080305</v>
      </c>
      <c r="P1528" s="23" t="s">
        <v>4530</v>
      </c>
      <c r="Q1528" s="23">
        <v>45081</v>
      </c>
      <c r="R1528" s="32">
        <v>45447</v>
      </c>
      <c r="V1528" s="33">
        <v>100</v>
      </c>
      <c r="W1528" s="28">
        <v>64.29</v>
      </c>
      <c r="X1528" s="34" t="s">
        <v>54</v>
      </c>
      <c r="Y1528" s="33">
        <v>64.29</v>
      </c>
      <c r="AC1528" s="28">
        <v>64.29</v>
      </c>
      <c r="AD1528" s="34" t="s">
        <v>54</v>
      </c>
      <c r="AE1528" s="33">
        <v>64.29</v>
      </c>
      <c r="AN1528" s="7" t="s">
        <v>54</v>
      </c>
      <c r="AO1528" s="7" t="s">
        <v>55</v>
      </c>
      <c r="AP1528" s="7" t="s">
        <v>56</v>
      </c>
      <c r="AT1528" s="47" t="s">
        <v>57</v>
      </c>
      <c r="AU1528" s="47" t="s">
        <v>57</v>
      </c>
    </row>
    <row r="1529" spans="1:47">
      <c r="A1529" s="4" t="s">
        <v>48</v>
      </c>
      <c r="C1529" s="21"/>
      <c r="D1529" s="22" t="s">
        <v>49</v>
      </c>
      <c r="G1529" s="23">
        <v>45079</v>
      </c>
      <c r="H1529" s="24" t="s">
        <v>4531</v>
      </c>
      <c r="J1529" s="28" t="s">
        <v>51</v>
      </c>
      <c r="L1529" s="24" t="s">
        <v>2518</v>
      </c>
      <c r="M1529" s="1" t="str">
        <f>"341202198906073513"</f>
        <v>341202198906073513</v>
      </c>
      <c r="N1529" s="24" t="s">
        <v>2518</v>
      </c>
      <c r="O1529" s="1" t="str">
        <f>"341202198906073513"</f>
        <v>341202198906073513</v>
      </c>
      <c r="P1529" s="23" t="s">
        <v>4532</v>
      </c>
      <c r="Q1529" s="23">
        <v>45233</v>
      </c>
      <c r="R1529" s="32">
        <v>45599</v>
      </c>
      <c r="V1529" s="33">
        <v>100</v>
      </c>
      <c r="W1529" s="28">
        <v>64.29</v>
      </c>
      <c r="X1529" s="34" t="s">
        <v>54</v>
      </c>
      <c r="Y1529" s="33">
        <v>64.29</v>
      </c>
      <c r="AC1529" s="28">
        <v>64.29</v>
      </c>
      <c r="AD1529" s="34" t="s">
        <v>54</v>
      </c>
      <c r="AE1529" s="33">
        <v>64.29</v>
      </c>
      <c r="AN1529" s="7" t="s">
        <v>54</v>
      </c>
      <c r="AO1529" s="7" t="s">
        <v>55</v>
      </c>
      <c r="AP1529" s="7" t="s">
        <v>56</v>
      </c>
      <c r="AT1529" s="47" t="s">
        <v>57</v>
      </c>
      <c r="AU1529" s="47" t="s">
        <v>57</v>
      </c>
    </row>
    <row r="1530" spans="1:47">
      <c r="A1530" s="4" t="s">
        <v>48</v>
      </c>
      <c r="C1530" s="21"/>
      <c r="D1530" s="22" t="s">
        <v>49</v>
      </c>
      <c r="G1530" s="23">
        <v>45082</v>
      </c>
      <c r="H1530" s="24" t="s">
        <v>4533</v>
      </c>
      <c r="J1530" s="28" t="s">
        <v>51</v>
      </c>
      <c r="L1530" s="24" t="s">
        <v>4534</v>
      </c>
      <c r="M1530" s="1" t="str">
        <f>"131082198509180288"</f>
        <v>131082198509180288</v>
      </c>
      <c r="N1530" s="24" t="s">
        <v>4534</v>
      </c>
      <c r="O1530" s="1" t="str">
        <f>"131082198509180288"</f>
        <v>131082198509180288</v>
      </c>
      <c r="P1530" s="23" t="s">
        <v>4535</v>
      </c>
      <c r="Q1530" s="23">
        <v>45175</v>
      </c>
      <c r="R1530" s="32">
        <v>45541</v>
      </c>
      <c r="V1530" s="33">
        <v>100</v>
      </c>
      <c r="W1530" s="28">
        <v>64.29</v>
      </c>
      <c r="X1530" s="34" t="s">
        <v>54</v>
      </c>
      <c r="Y1530" s="33">
        <v>64.29</v>
      </c>
      <c r="AC1530" s="28">
        <v>64.29</v>
      </c>
      <c r="AD1530" s="34" t="s">
        <v>54</v>
      </c>
      <c r="AE1530" s="33">
        <v>64.29</v>
      </c>
      <c r="AN1530" s="7" t="s">
        <v>54</v>
      </c>
      <c r="AO1530" s="7" t="s">
        <v>55</v>
      </c>
      <c r="AP1530" s="7" t="s">
        <v>56</v>
      </c>
      <c r="AT1530" s="47" t="s">
        <v>57</v>
      </c>
      <c r="AU1530" s="47" t="s">
        <v>57</v>
      </c>
    </row>
    <row r="1531" spans="1:47">
      <c r="A1531" s="4" t="s">
        <v>48</v>
      </c>
      <c r="C1531" s="21"/>
      <c r="D1531" s="22" t="s">
        <v>49</v>
      </c>
      <c r="G1531" s="23">
        <v>45084</v>
      </c>
      <c r="H1531" s="24" t="s">
        <v>4536</v>
      </c>
      <c r="J1531" s="28" t="s">
        <v>51</v>
      </c>
      <c r="L1531" s="24" t="s">
        <v>2279</v>
      </c>
      <c r="M1531" s="1" t="str">
        <f>"222405198103280635"</f>
        <v>222405198103280635</v>
      </c>
      <c r="N1531" s="24" t="s">
        <v>2279</v>
      </c>
      <c r="O1531" s="1" t="str">
        <f>"222405198103280635"</f>
        <v>222405198103280635</v>
      </c>
      <c r="P1531" s="23" t="s">
        <v>4537</v>
      </c>
      <c r="Q1531" s="23">
        <v>45085</v>
      </c>
      <c r="R1531" s="32">
        <v>45451</v>
      </c>
      <c r="V1531" s="33">
        <v>200</v>
      </c>
      <c r="W1531" s="28">
        <v>64.29</v>
      </c>
      <c r="X1531" s="34" t="s">
        <v>54</v>
      </c>
      <c r="Y1531" s="33">
        <v>128.58</v>
      </c>
      <c r="AC1531" s="28">
        <v>64.29</v>
      </c>
      <c r="AD1531" s="34" t="s">
        <v>54</v>
      </c>
      <c r="AE1531" s="33">
        <v>128.58</v>
      </c>
      <c r="AN1531" s="7" t="s">
        <v>54</v>
      </c>
      <c r="AO1531" s="7" t="s">
        <v>55</v>
      </c>
      <c r="AP1531" s="7" t="s">
        <v>56</v>
      </c>
      <c r="AT1531" s="47" t="s">
        <v>57</v>
      </c>
      <c r="AU1531" s="47" t="s">
        <v>57</v>
      </c>
    </row>
    <row r="1532" spans="1:47">
      <c r="A1532" s="4" t="s">
        <v>48</v>
      </c>
      <c r="C1532" s="21"/>
      <c r="D1532" s="22" t="s">
        <v>49</v>
      </c>
      <c r="G1532" s="23">
        <v>45084</v>
      </c>
      <c r="H1532" s="24" t="s">
        <v>4538</v>
      </c>
      <c r="J1532" s="28" t="s">
        <v>51</v>
      </c>
      <c r="L1532" s="24" t="s">
        <v>2279</v>
      </c>
      <c r="M1532" s="1" t="str">
        <f>"34022319741121742X"</f>
        <v>34022319741121742X</v>
      </c>
      <c r="N1532" s="24" t="s">
        <v>2279</v>
      </c>
      <c r="O1532" s="1" t="str">
        <f>"34022319741121742X"</f>
        <v>34022319741121742X</v>
      </c>
      <c r="P1532" s="23" t="s">
        <v>4539</v>
      </c>
      <c r="Q1532" s="23">
        <v>45085</v>
      </c>
      <c r="R1532" s="32">
        <v>45451</v>
      </c>
      <c r="V1532" s="33">
        <v>200</v>
      </c>
      <c r="W1532" s="28">
        <v>64.29</v>
      </c>
      <c r="X1532" s="34" t="s">
        <v>54</v>
      </c>
      <c r="Y1532" s="33">
        <v>128.58</v>
      </c>
      <c r="AC1532" s="28">
        <v>64.29</v>
      </c>
      <c r="AD1532" s="34" t="s">
        <v>54</v>
      </c>
      <c r="AE1532" s="33">
        <v>128.58</v>
      </c>
      <c r="AN1532" s="7" t="s">
        <v>54</v>
      </c>
      <c r="AO1532" s="7" t="s">
        <v>55</v>
      </c>
      <c r="AP1532" s="7" t="s">
        <v>56</v>
      </c>
      <c r="AT1532" s="47" t="s">
        <v>57</v>
      </c>
      <c r="AU1532" s="47" t="s">
        <v>57</v>
      </c>
    </row>
    <row r="1533" spans="1:47">
      <c r="A1533" s="4" t="s">
        <v>48</v>
      </c>
      <c r="C1533" s="21"/>
      <c r="D1533" s="22" t="s">
        <v>49</v>
      </c>
      <c r="G1533" s="23">
        <v>45084</v>
      </c>
      <c r="H1533" s="24" t="s">
        <v>4540</v>
      </c>
      <c r="J1533" s="28" t="s">
        <v>51</v>
      </c>
      <c r="L1533" s="24" t="s">
        <v>4541</v>
      </c>
      <c r="M1533" s="1" t="str">
        <f>"341204198408210223"</f>
        <v>341204198408210223</v>
      </c>
      <c r="N1533" s="24" t="s">
        <v>4541</v>
      </c>
      <c r="O1533" s="1" t="str">
        <f>"341204198408210223"</f>
        <v>341204198408210223</v>
      </c>
      <c r="P1533" s="23" t="s">
        <v>4542</v>
      </c>
      <c r="Q1533" s="23">
        <v>45085</v>
      </c>
      <c r="R1533" s="32">
        <v>45451</v>
      </c>
      <c r="V1533" s="33">
        <v>200</v>
      </c>
      <c r="W1533" s="28">
        <v>64.29</v>
      </c>
      <c r="X1533" s="34" t="s">
        <v>54</v>
      </c>
      <c r="Y1533" s="33">
        <v>128.58</v>
      </c>
      <c r="AC1533" s="28">
        <v>64.29</v>
      </c>
      <c r="AD1533" s="34" t="s">
        <v>54</v>
      </c>
      <c r="AE1533" s="33">
        <v>128.58</v>
      </c>
      <c r="AN1533" s="7" t="s">
        <v>54</v>
      </c>
      <c r="AO1533" s="7" t="s">
        <v>55</v>
      </c>
      <c r="AP1533" s="7" t="s">
        <v>56</v>
      </c>
      <c r="AT1533" s="47" t="s">
        <v>57</v>
      </c>
      <c r="AU1533" s="47" t="s">
        <v>57</v>
      </c>
    </row>
    <row r="1534" spans="1:47">
      <c r="A1534" s="4" t="s">
        <v>48</v>
      </c>
      <c r="C1534" s="21"/>
      <c r="D1534" s="22" t="s">
        <v>49</v>
      </c>
      <c r="G1534" s="23">
        <v>45079</v>
      </c>
      <c r="H1534" s="24" t="s">
        <v>4543</v>
      </c>
      <c r="J1534" s="28" t="s">
        <v>51</v>
      </c>
      <c r="L1534" s="24" t="s">
        <v>4544</v>
      </c>
      <c r="M1534" s="1" t="str">
        <f>"341202198903261914"</f>
        <v>341202198903261914</v>
      </c>
      <c r="N1534" s="24" t="s">
        <v>4544</v>
      </c>
      <c r="O1534" s="1" t="str">
        <f>"341202198903261914"</f>
        <v>341202198903261914</v>
      </c>
      <c r="P1534" s="23" t="s">
        <v>4545</v>
      </c>
      <c r="Q1534" s="23">
        <v>45171</v>
      </c>
      <c r="R1534" s="32">
        <v>45537</v>
      </c>
      <c r="V1534" s="33">
        <v>200</v>
      </c>
      <c r="W1534" s="28">
        <v>64.29</v>
      </c>
      <c r="X1534" s="34" t="s">
        <v>54</v>
      </c>
      <c r="Y1534" s="33">
        <v>128.58</v>
      </c>
      <c r="AC1534" s="28">
        <v>64.29</v>
      </c>
      <c r="AD1534" s="34" t="s">
        <v>54</v>
      </c>
      <c r="AE1534" s="33">
        <v>128.58</v>
      </c>
      <c r="AN1534" s="7" t="s">
        <v>54</v>
      </c>
      <c r="AO1534" s="7" t="s">
        <v>55</v>
      </c>
      <c r="AP1534" s="7" t="s">
        <v>56</v>
      </c>
      <c r="AT1534" s="47" t="s">
        <v>57</v>
      </c>
      <c r="AU1534" s="47" t="s">
        <v>57</v>
      </c>
    </row>
    <row r="1535" spans="1:47">
      <c r="A1535" s="4" t="s">
        <v>48</v>
      </c>
      <c r="C1535" s="21"/>
      <c r="D1535" s="22" t="s">
        <v>49</v>
      </c>
      <c r="G1535" s="23">
        <v>45079</v>
      </c>
      <c r="H1535" s="24" t="s">
        <v>4546</v>
      </c>
      <c r="J1535" s="28" t="s">
        <v>51</v>
      </c>
      <c r="L1535" s="24" t="s">
        <v>4547</v>
      </c>
      <c r="M1535" s="1" t="str">
        <f>"411402199504150567"</f>
        <v>411402199504150567</v>
      </c>
      <c r="N1535" s="24" t="s">
        <v>4547</v>
      </c>
      <c r="O1535" s="1" t="str">
        <f>"411402199504150567"</f>
        <v>411402199504150567</v>
      </c>
      <c r="P1535" s="23" t="s">
        <v>4548</v>
      </c>
      <c r="Q1535" s="23">
        <v>45178</v>
      </c>
      <c r="R1535" s="32">
        <v>45544</v>
      </c>
      <c r="V1535" s="33">
        <v>200</v>
      </c>
      <c r="W1535" s="28">
        <v>64.29</v>
      </c>
      <c r="X1535" s="34" t="s">
        <v>54</v>
      </c>
      <c r="Y1535" s="33">
        <v>128.58</v>
      </c>
      <c r="AC1535" s="28">
        <v>64.29</v>
      </c>
      <c r="AD1535" s="34" t="s">
        <v>54</v>
      </c>
      <c r="AE1535" s="33">
        <v>128.58</v>
      </c>
      <c r="AN1535" s="7" t="s">
        <v>54</v>
      </c>
      <c r="AO1535" s="7" t="s">
        <v>55</v>
      </c>
      <c r="AP1535" s="7" t="s">
        <v>56</v>
      </c>
      <c r="AT1535" s="47" t="s">
        <v>57</v>
      </c>
      <c r="AU1535" s="47" t="s">
        <v>57</v>
      </c>
    </row>
    <row r="1536" spans="1:47">
      <c r="A1536" s="4" t="s">
        <v>48</v>
      </c>
      <c r="C1536" s="21"/>
      <c r="D1536" s="22" t="s">
        <v>49</v>
      </c>
      <c r="G1536" s="23">
        <v>45101</v>
      </c>
      <c r="H1536" s="24" t="s">
        <v>4549</v>
      </c>
      <c r="J1536" s="28" t="s">
        <v>51</v>
      </c>
      <c r="L1536" s="24" t="s">
        <v>4550</v>
      </c>
      <c r="M1536" s="1" t="str">
        <f>"132821196411285121"</f>
        <v>132821196411285121</v>
      </c>
      <c r="N1536" s="24" t="s">
        <v>4550</v>
      </c>
      <c r="O1536" s="1" t="str">
        <f>"132821196411285121"</f>
        <v>132821196411285121</v>
      </c>
      <c r="P1536" s="23" t="s">
        <v>4551</v>
      </c>
      <c r="Q1536" s="23">
        <v>45102</v>
      </c>
      <c r="R1536" s="32">
        <v>45468</v>
      </c>
      <c r="V1536" s="33">
        <v>50</v>
      </c>
      <c r="W1536" s="28">
        <v>64.29</v>
      </c>
      <c r="X1536" s="34" t="s">
        <v>54</v>
      </c>
      <c r="Y1536" s="33">
        <v>32.15</v>
      </c>
      <c r="AC1536" s="28">
        <v>64.29</v>
      </c>
      <c r="AD1536" s="34" t="s">
        <v>54</v>
      </c>
      <c r="AE1536" s="33">
        <v>32.15</v>
      </c>
      <c r="AN1536" s="7" t="s">
        <v>54</v>
      </c>
      <c r="AO1536" s="7" t="s">
        <v>55</v>
      </c>
      <c r="AP1536" s="7" t="s">
        <v>56</v>
      </c>
      <c r="AT1536" s="47" t="s">
        <v>57</v>
      </c>
      <c r="AU1536" s="47" t="s">
        <v>57</v>
      </c>
    </row>
    <row r="1537" spans="1:47">
      <c r="A1537" s="4" t="s">
        <v>48</v>
      </c>
      <c r="C1537" s="21"/>
      <c r="D1537" s="22" t="s">
        <v>49</v>
      </c>
      <c r="G1537" s="23">
        <v>45099</v>
      </c>
      <c r="H1537" s="24" t="s">
        <v>4552</v>
      </c>
      <c r="J1537" s="28" t="s">
        <v>51</v>
      </c>
      <c r="L1537" s="24" t="s">
        <v>4553</v>
      </c>
      <c r="M1537" s="1" t="str">
        <f>"341221198610158525"</f>
        <v>341221198610158525</v>
      </c>
      <c r="N1537" s="24" t="s">
        <v>4553</v>
      </c>
      <c r="O1537" s="1" t="str">
        <f>"341221198610158525"</f>
        <v>341221198610158525</v>
      </c>
      <c r="P1537" s="23" t="s">
        <v>4554</v>
      </c>
      <c r="Q1537" s="23">
        <v>45100</v>
      </c>
      <c r="R1537" s="32">
        <v>45466</v>
      </c>
      <c r="V1537" s="33">
        <v>50</v>
      </c>
      <c r="W1537" s="28">
        <v>64.29</v>
      </c>
      <c r="X1537" s="34" t="s">
        <v>54</v>
      </c>
      <c r="Y1537" s="33">
        <v>32.15</v>
      </c>
      <c r="AC1537" s="28">
        <v>64.29</v>
      </c>
      <c r="AD1537" s="34" t="s">
        <v>54</v>
      </c>
      <c r="AE1537" s="33">
        <v>32.15</v>
      </c>
      <c r="AN1537" s="7" t="s">
        <v>54</v>
      </c>
      <c r="AO1537" s="7" t="s">
        <v>55</v>
      </c>
      <c r="AP1537" s="7" t="s">
        <v>56</v>
      </c>
      <c r="AT1537" s="47" t="s">
        <v>57</v>
      </c>
      <c r="AU1537" s="47" t="s">
        <v>57</v>
      </c>
    </row>
    <row r="1538" spans="1:47">
      <c r="A1538" s="4" t="s">
        <v>48</v>
      </c>
      <c r="C1538" s="21"/>
      <c r="D1538" s="22" t="s">
        <v>49</v>
      </c>
      <c r="G1538" s="23">
        <v>45099</v>
      </c>
      <c r="H1538" s="24" t="s">
        <v>4555</v>
      </c>
      <c r="J1538" s="28" t="s">
        <v>51</v>
      </c>
      <c r="L1538" s="24" t="s">
        <v>4556</v>
      </c>
      <c r="M1538" s="1" t="str">
        <f>"131082196812178317"</f>
        <v>131082196812178317</v>
      </c>
      <c r="N1538" s="24" t="s">
        <v>4556</v>
      </c>
      <c r="O1538" s="1" t="str">
        <f>"131082196812178317"</f>
        <v>131082196812178317</v>
      </c>
      <c r="P1538" s="23" t="s">
        <v>4557</v>
      </c>
      <c r="Q1538" s="23">
        <v>45100</v>
      </c>
      <c r="R1538" s="32">
        <v>45466</v>
      </c>
      <c r="V1538" s="33">
        <v>100</v>
      </c>
      <c r="W1538" s="28">
        <v>64.29</v>
      </c>
      <c r="X1538" s="34" t="s">
        <v>54</v>
      </c>
      <c r="Y1538" s="33">
        <v>64.29</v>
      </c>
      <c r="AC1538" s="28">
        <v>64.29</v>
      </c>
      <c r="AD1538" s="34" t="s">
        <v>54</v>
      </c>
      <c r="AE1538" s="33">
        <v>64.29</v>
      </c>
      <c r="AN1538" s="7" t="s">
        <v>54</v>
      </c>
      <c r="AO1538" s="7" t="s">
        <v>55</v>
      </c>
      <c r="AP1538" s="7" t="s">
        <v>56</v>
      </c>
      <c r="AT1538" s="47" t="s">
        <v>57</v>
      </c>
      <c r="AU1538" s="47" t="s">
        <v>57</v>
      </c>
    </row>
    <row r="1539" spans="1:47">
      <c r="A1539" s="4" t="s">
        <v>48</v>
      </c>
      <c r="C1539" s="21"/>
      <c r="D1539" s="22" t="s">
        <v>49</v>
      </c>
      <c r="G1539" s="23">
        <v>45100</v>
      </c>
      <c r="H1539" s="24" t="s">
        <v>4558</v>
      </c>
      <c r="J1539" s="28" t="s">
        <v>51</v>
      </c>
      <c r="L1539" s="24" t="s">
        <v>4559</v>
      </c>
      <c r="M1539" s="1" t="str">
        <f>"34122119730502418X"</f>
        <v>34122119730502418X</v>
      </c>
      <c r="N1539" s="24" t="s">
        <v>4559</v>
      </c>
      <c r="O1539" s="1" t="str">
        <f>"34122119730502418X"</f>
        <v>34122119730502418X</v>
      </c>
      <c r="P1539" s="23" t="s">
        <v>4560</v>
      </c>
      <c r="Q1539" s="23">
        <v>45101</v>
      </c>
      <c r="R1539" s="32">
        <v>45467</v>
      </c>
      <c r="V1539" s="33">
        <v>100</v>
      </c>
      <c r="W1539" s="28">
        <v>64.29</v>
      </c>
      <c r="X1539" s="34" t="s">
        <v>54</v>
      </c>
      <c r="Y1539" s="33">
        <v>64.29</v>
      </c>
      <c r="AC1539" s="28">
        <v>64.29</v>
      </c>
      <c r="AD1539" s="34" t="s">
        <v>54</v>
      </c>
      <c r="AE1539" s="33">
        <v>64.29</v>
      </c>
      <c r="AN1539" s="7" t="s">
        <v>54</v>
      </c>
      <c r="AO1539" s="7" t="s">
        <v>55</v>
      </c>
      <c r="AP1539" s="7" t="s">
        <v>56</v>
      </c>
      <c r="AT1539" s="47" t="s">
        <v>57</v>
      </c>
      <c r="AU1539" s="47" t="s">
        <v>57</v>
      </c>
    </row>
    <row r="1540" spans="1:47">
      <c r="A1540" s="4" t="s">
        <v>48</v>
      </c>
      <c r="C1540" s="21"/>
      <c r="D1540" s="22" t="s">
        <v>49</v>
      </c>
      <c r="G1540" s="23">
        <v>45102</v>
      </c>
      <c r="H1540" s="24" t="s">
        <v>4561</v>
      </c>
      <c r="J1540" s="28" t="s">
        <v>51</v>
      </c>
      <c r="L1540" s="24" t="s">
        <v>4562</v>
      </c>
      <c r="M1540" s="1" t="str">
        <f>"341221198409044470"</f>
        <v>341221198409044470</v>
      </c>
      <c r="N1540" s="24" t="s">
        <v>4562</v>
      </c>
      <c r="O1540" s="1" t="str">
        <f>"341221198409044470"</f>
        <v>341221198409044470</v>
      </c>
      <c r="P1540" s="23" t="s">
        <v>4563</v>
      </c>
      <c r="Q1540" s="23">
        <v>45103</v>
      </c>
      <c r="R1540" s="32">
        <v>45469</v>
      </c>
      <c r="V1540" s="33">
        <v>100</v>
      </c>
      <c r="W1540" s="28">
        <v>64.29</v>
      </c>
      <c r="X1540" s="34" t="s">
        <v>54</v>
      </c>
      <c r="Y1540" s="33">
        <v>64.29</v>
      </c>
      <c r="AC1540" s="28">
        <v>64.29</v>
      </c>
      <c r="AD1540" s="34" t="s">
        <v>54</v>
      </c>
      <c r="AE1540" s="33">
        <v>64.29</v>
      </c>
      <c r="AN1540" s="7" t="s">
        <v>54</v>
      </c>
      <c r="AO1540" s="7" t="s">
        <v>55</v>
      </c>
      <c r="AP1540" s="7" t="s">
        <v>56</v>
      </c>
      <c r="AT1540" s="47" t="s">
        <v>57</v>
      </c>
      <c r="AU1540" s="47" t="s">
        <v>57</v>
      </c>
    </row>
    <row r="1541" spans="1:47">
      <c r="A1541" s="4" t="s">
        <v>48</v>
      </c>
      <c r="C1541" s="21"/>
      <c r="D1541" s="22" t="s">
        <v>49</v>
      </c>
      <c r="G1541" s="23">
        <v>45092</v>
      </c>
      <c r="H1541" s="24" t="s">
        <v>4564</v>
      </c>
      <c r="J1541" s="28" t="s">
        <v>51</v>
      </c>
      <c r="L1541" s="24" t="s">
        <v>4565</v>
      </c>
      <c r="M1541" s="1" t="str">
        <f>"132926197906144621"</f>
        <v>132926197906144621</v>
      </c>
      <c r="N1541" s="24" t="s">
        <v>4565</v>
      </c>
      <c r="O1541" s="1" t="str">
        <f>"132926197906144621"</f>
        <v>132926197906144621</v>
      </c>
      <c r="P1541" s="23" t="s">
        <v>4566</v>
      </c>
      <c r="Q1541" s="23">
        <v>45093</v>
      </c>
      <c r="R1541" s="32">
        <v>45459</v>
      </c>
      <c r="V1541" s="33">
        <v>100</v>
      </c>
      <c r="W1541" s="28">
        <v>64.29</v>
      </c>
      <c r="X1541" s="34" t="s">
        <v>54</v>
      </c>
      <c r="Y1541" s="33">
        <v>64.29</v>
      </c>
      <c r="AC1541" s="28">
        <v>64.29</v>
      </c>
      <c r="AD1541" s="34" t="s">
        <v>54</v>
      </c>
      <c r="AE1541" s="33">
        <v>64.29</v>
      </c>
      <c r="AN1541" s="7" t="s">
        <v>54</v>
      </c>
      <c r="AO1541" s="7" t="s">
        <v>55</v>
      </c>
      <c r="AP1541" s="7" t="s">
        <v>56</v>
      </c>
      <c r="AT1541" s="47" t="s">
        <v>57</v>
      </c>
      <c r="AU1541" s="47" t="s">
        <v>57</v>
      </c>
    </row>
    <row r="1542" spans="1:47">
      <c r="A1542" s="4" t="s">
        <v>48</v>
      </c>
      <c r="C1542" s="21"/>
      <c r="D1542" s="22" t="s">
        <v>49</v>
      </c>
      <c r="G1542" s="23">
        <v>45092</v>
      </c>
      <c r="H1542" s="24" t="s">
        <v>4567</v>
      </c>
      <c r="J1542" s="28" t="s">
        <v>51</v>
      </c>
      <c r="L1542" s="24" t="s">
        <v>4568</v>
      </c>
      <c r="M1542" s="1" t="str">
        <f>"131082199311140031"</f>
        <v>131082199311140031</v>
      </c>
      <c r="N1542" s="24" t="s">
        <v>4568</v>
      </c>
      <c r="O1542" s="1" t="str">
        <f>"131082199311140031"</f>
        <v>131082199311140031</v>
      </c>
      <c r="P1542" s="23" t="s">
        <v>4569</v>
      </c>
      <c r="Q1542" s="23">
        <v>45303</v>
      </c>
      <c r="R1542" s="32">
        <v>45669</v>
      </c>
      <c r="V1542" s="33">
        <v>100</v>
      </c>
      <c r="W1542" s="28">
        <v>64.29</v>
      </c>
      <c r="X1542" s="34" t="s">
        <v>54</v>
      </c>
      <c r="Y1542" s="33">
        <v>64.29</v>
      </c>
      <c r="AC1542" s="28">
        <v>64.29</v>
      </c>
      <c r="AD1542" s="34" t="s">
        <v>54</v>
      </c>
      <c r="AE1542" s="33">
        <v>64.29</v>
      </c>
      <c r="AN1542" s="7" t="s">
        <v>54</v>
      </c>
      <c r="AO1542" s="7" t="s">
        <v>55</v>
      </c>
      <c r="AP1542" s="7" t="s">
        <v>56</v>
      </c>
      <c r="AT1542" s="47" t="s">
        <v>57</v>
      </c>
      <c r="AU1542" s="47" t="s">
        <v>57</v>
      </c>
    </row>
    <row r="1543" spans="1:47">
      <c r="A1543" s="4" t="s">
        <v>48</v>
      </c>
      <c r="C1543" s="21"/>
      <c r="D1543" s="22" t="s">
        <v>49</v>
      </c>
      <c r="G1543" s="23">
        <v>45090</v>
      </c>
      <c r="H1543" s="24" t="s">
        <v>4570</v>
      </c>
      <c r="J1543" s="28" t="s">
        <v>51</v>
      </c>
      <c r="L1543" s="24" t="s">
        <v>4571</v>
      </c>
      <c r="M1543" s="1" t="str">
        <f>"341221198808151775"</f>
        <v>341221198808151775</v>
      </c>
      <c r="N1543" s="24" t="s">
        <v>4571</v>
      </c>
      <c r="O1543" s="1" t="str">
        <f>"341221198808151775"</f>
        <v>341221198808151775</v>
      </c>
      <c r="P1543" s="23" t="s">
        <v>4572</v>
      </c>
      <c r="Q1543" s="23">
        <v>45091</v>
      </c>
      <c r="R1543" s="32">
        <v>45457</v>
      </c>
      <c r="V1543" s="33">
        <v>100</v>
      </c>
      <c r="W1543" s="28">
        <v>64.29</v>
      </c>
      <c r="X1543" s="34" t="s">
        <v>54</v>
      </c>
      <c r="Y1543" s="33">
        <v>64.29</v>
      </c>
      <c r="AC1543" s="28">
        <v>64.29</v>
      </c>
      <c r="AD1543" s="34" t="s">
        <v>54</v>
      </c>
      <c r="AE1543" s="33">
        <v>64.29</v>
      </c>
      <c r="AN1543" s="7" t="s">
        <v>54</v>
      </c>
      <c r="AO1543" s="7" t="s">
        <v>55</v>
      </c>
      <c r="AP1543" s="7" t="s">
        <v>56</v>
      </c>
      <c r="AT1543" s="47" t="s">
        <v>57</v>
      </c>
      <c r="AU1543" s="47" t="s">
        <v>57</v>
      </c>
    </row>
    <row r="1544" spans="1:47">
      <c r="A1544" s="4" t="s">
        <v>48</v>
      </c>
      <c r="C1544" s="21"/>
      <c r="D1544" s="22" t="s">
        <v>49</v>
      </c>
      <c r="G1544" s="23">
        <v>45079</v>
      </c>
      <c r="H1544" s="24" t="s">
        <v>4573</v>
      </c>
      <c r="J1544" s="28" t="s">
        <v>51</v>
      </c>
      <c r="L1544" s="24" t="s">
        <v>4574</v>
      </c>
      <c r="M1544" s="1" t="str">
        <f>"342122197810054410"</f>
        <v>342122197810054410</v>
      </c>
      <c r="N1544" s="24" t="s">
        <v>4574</v>
      </c>
      <c r="O1544" s="1" t="str">
        <f>"342122197810054410"</f>
        <v>342122197810054410</v>
      </c>
      <c r="P1544" s="23" t="s">
        <v>4575</v>
      </c>
      <c r="Q1544" s="23">
        <v>45108</v>
      </c>
      <c r="R1544" s="32">
        <v>45474</v>
      </c>
      <c r="V1544" s="33">
        <v>100</v>
      </c>
      <c r="W1544" s="28">
        <v>64.29</v>
      </c>
      <c r="X1544" s="34" t="s">
        <v>54</v>
      </c>
      <c r="Y1544" s="33">
        <v>64.29</v>
      </c>
      <c r="AC1544" s="28">
        <v>64.29</v>
      </c>
      <c r="AD1544" s="34" t="s">
        <v>54</v>
      </c>
      <c r="AE1544" s="33">
        <v>64.29</v>
      </c>
      <c r="AN1544" s="7" t="s">
        <v>54</v>
      </c>
      <c r="AO1544" s="7" t="s">
        <v>55</v>
      </c>
      <c r="AP1544" s="7" t="s">
        <v>56</v>
      </c>
      <c r="AT1544" s="47" t="s">
        <v>57</v>
      </c>
      <c r="AU1544" s="47" t="s">
        <v>57</v>
      </c>
    </row>
    <row r="1545" spans="1:47">
      <c r="A1545" s="4" t="s">
        <v>48</v>
      </c>
      <c r="C1545" s="21"/>
      <c r="D1545" s="22" t="s">
        <v>49</v>
      </c>
      <c r="G1545" s="23">
        <v>45080</v>
      </c>
      <c r="H1545" s="24" t="s">
        <v>4576</v>
      </c>
      <c r="J1545" s="28" t="s">
        <v>51</v>
      </c>
      <c r="L1545" s="24" t="s">
        <v>4577</v>
      </c>
      <c r="M1545" s="1" t="str">
        <f>"132826195406204419"</f>
        <v>132826195406204419</v>
      </c>
      <c r="N1545" s="24" t="s">
        <v>4577</v>
      </c>
      <c r="O1545" s="1" t="str">
        <f>"132826195406204419"</f>
        <v>132826195406204419</v>
      </c>
      <c r="P1545" s="23" t="s">
        <v>4578</v>
      </c>
      <c r="Q1545" s="23">
        <v>45081</v>
      </c>
      <c r="R1545" s="32">
        <v>45447</v>
      </c>
      <c r="V1545" s="33">
        <v>100</v>
      </c>
      <c r="W1545" s="28">
        <v>64.29</v>
      </c>
      <c r="X1545" s="34" t="s">
        <v>54</v>
      </c>
      <c r="Y1545" s="33">
        <v>64.29</v>
      </c>
      <c r="AC1545" s="28">
        <v>64.29</v>
      </c>
      <c r="AD1545" s="34" t="s">
        <v>54</v>
      </c>
      <c r="AE1545" s="33">
        <v>64.29</v>
      </c>
      <c r="AN1545" s="7" t="s">
        <v>54</v>
      </c>
      <c r="AO1545" s="7" t="s">
        <v>55</v>
      </c>
      <c r="AP1545" s="7" t="s">
        <v>56</v>
      </c>
      <c r="AT1545" s="47" t="s">
        <v>57</v>
      </c>
      <c r="AU1545" s="47" t="s">
        <v>57</v>
      </c>
    </row>
    <row r="1546" spans="1:47">
      <c r="A1546" s="4" t="s">
        <v>48</v>
      </c>
      <c r="C1546" s="21"/>
      <c r="D1546" s="22" t="s">
        <v>49</v>
      </c>
      <c r="G1546" s="23">
        <v>45079</v>
      </c>
      <c r="H1546" s="24" t="s">
        <v>4579</v>
      </c>
      <c r="J1546" s="28" t="s">
        <v>51</v>
      </c>
      <c r="L1546" s="24" t="s">
        <v>4580</v>
      </c>
      <c r="M1546" s="1" t="str">
        <f>"341221199712170247"</f>
        <v>341221199712170247</v>
      </c>
      <c r="N1546" s="24" t="s">
        <v>4580</v>
      </c>
      <c r="O1546" s="1" t="str">
        <f>"341221199712170247"</f>
        <v>341221199712170247</v>
      </c>
      <c r="P1546" s="23" t="s">
        <v>4581</v>
      </c>
      <c r="Q1546" s="23">
        <v>45080</v>
      </c>
      <c r="R1546" s="32">
        <v>45446</v>
      </c>
      <c r="V1546" s="33">
        <v>200</v>
      </c>
      <c r="W1546" s="28">
        <v>64.29</v>
      </c>
      <c r="X1546" s="34" t="s">
        <v>54</v>
      </c>
      <c r="Y1546" s="33">
        <v>128.58</v>
      </c>
      <c r="AC1546" s="28">
        <v>64.29</v>
      </c>
      <c r="AD1546" s="34" t="s">
        <v>54</v>
      </c>
      <c r="AE1546" s="33">
        <v>128.58</v>
      </c>
      <c r="AN1546" s="7" t="s">
        <v>54</v>
      </c>
      <c r="AO1546" s="7" t="s">
        <v>55</v>
      </c>
      <c r="AP1546" s="7" t="s">
        <v>56</v>
      </c>
      <c r="AT1546" s="47" t="s">
        <v>57</v>
      </c>
      <c r="AU1546" s="47" t="s">
        <v>57</v>
      </c>
    </row>
    <row r="1547" spans="1:47">
      <c r="A1547" s="4" t="s">
        <v>48</v>
      </c>
      <c r="C1547" s="21"/>
      <c r="D1547" s="22" t="s">
        <v>49</v>
      </c>
      <c r="G1547" s="23">
        <v>45079</v>
      </c>
      <c r="H1547" s="24" t="s">
        <v>4582</v>
      </c>
      <c r="J1547" s="28" t="s">
        <v>51</v>
      </c>
      <c r="L1547" s="24" t="s">
        <v>4583</v>
      </c>
      <c r="M1547" s="1" t="str">
        <f>"132821195905158275"</f>
        <v>132821195905158275</v>
      </c>
      <c r="N1547" s="24" t="s">
        <v>4583</v>
      </c>
      <c r="O1547" s="1" t="str">
        <f>"132821195905158275"</f>
        <v>132821195905158275</v>
      </c>
      <c r="P1547" s="23" t="s">
        <v>4584</v>
      </c>
      <c r="Q1547" s="23">
        <v>45290</v>
      </c>
      <c r="R1547" s="32">
        <v>45656</v>
      </c>
      <c r="V1547" s="33">
        <v>200</v>
      </c>
      <c r="W1547" s="28">
        <v>64.29</v>
      </c>
      <c r="X1547" s="34" t="s">
        <v>54</v>
      </c>
      <c r="Y1547" s="33">
        <v>128.58</v>
      </c>
      <c r="AC1547" s="28">
        <v>64.29</v>
      </c>
      <c r="AD1547" s="34" t="s">
        <v>54</v>
      </c>
      <c r="AE1547" s="33">
        <v>128.58</v>
      </c>
      <c r="AN1547" s="7" t="s">
        <v>54</v>
      </c>
      <c r="AO1547" s="7" t="s">
        <v>55</v>
      </c>
      <c r="AP1547" s="7" t="s">
        <v>56</v>
      </c>
      <c r="AT1547" s="47" t="s">
        <v>57</v>
      </c>
      <c r="AU1547" s="47" t="s">
        <v>57</v>
      </c>
    </row>
    <row r="1548" spans="1:47">
      <c r="A1548" s="4" t="s">
        <v>48</v>
      </c>
      <c r="C1548" s="21"/>
      <c r="D1548" s="22" t="s">
        <v>49</v>
      </c>
      <c r="G1548" s="23">
        <v>45078</v>
      </c>
      <c r="H1548" s="24" t="s">
        <v>4585</v>
      </c>
      <c r="J1548" s="28" t="s">
        <v>51</v>
      </c>
      <c r="L1548" s="24" t="s">
        <v>4586</v>
      </c>
      <c r="M1548" s="1" t="str">
        <f>"131082199010162018"</f>
        <v>131082199010162018</v>
      </c>
      <c r="N1548" s="24" t="s">
        <v>4586</v>
      </c>
      <c r="O1548" s="1" t="str">
        <f>"131082199010162018"</f>
        <v>131082199010162018</v>
      </c>
      <c r="P1548" s="23" t="s">
        <v>4587</v>
      </c>
      <c r="Q1548" s="23">
        <v>45289</v>
      </c>
      <c r="R1548" s="32">
        <v>45655</v>
      </c>
      <c r="V1548" s="33">
        <v>200</v>
      </c>
      <c r="W1548" s="28">
        <v>64.29</v>
      </c>
      <c r="X1548" s="34" t="s">
        <v>54</v>
      </c>
      <c r="Y1548" s="33">
        <v>128.58</v>
      </c>
      <c r="AC1548" s="28">
        <v>64.29</v>
      </c>
      <c r="AD1548" s="34" t="s">
        <v>54</v>
      </c>
      <c r="AE1548" s="33">
        <v>128.58</v>
      </c>
      <c r="AN1548" s="7" t="s">
        <v>54</v>
      </c>
      <c r="AO1548" s="7" t="s">
        <v>55</v>
      </c>
      <c r="AP1548" s="7" t="s">
        <v>56</v>
      </c>
      <c r="AT1548" s="47" t="s">
        <v>57</v>
      </c>
      <c r="AU1548" s="47" t="s">
        <v>57</v>
      </c>
    </row>
    <row r="1549" spans="1:47">
      <c r="A1549" s="4" t="s">
        <v>48</v>
      </c>
      <c r="C1549" s="21"/>
      <c r="D1549" s="22" t="s">
        <v>49</v>
      </c>
      <c r="G1549" s="23">
        <v>45077</v>
      </c>
      <c r="H1549" s="24" t="s">
        <v>4588</v>
      </c>
      <c r="J1549" s="28" t="s">
        <v>51</v>
      </c>
      <c r="L1549" s="24" t="s">
        <v>4589</v>
      </c>
      <c r="M1549" s="1" t="str">
        <f>"371323198903198436"</f>
        <v>371323198903198436</v>
      </c>
      <c r="N1549" s="24" t="s">
        <v>4589</v>
      </c>
      <c r="O1549" s="1" t="str">
        <f>"371323198903198436"</f>
        <v>371323198903198436</v>
      </c>
      <c r="P1549" s="23" t="s">
        <v>4590</v>
      </c>
      <c r="Q1549" s="23">
        <v>45078</v>
      </c>
      <c r="R1549" s="32">
        <v>45444</v>
      </c>
      <c r="V1549" s="33">
        <v>200</v>
      </c>
      <c r="W1549" s="28">
        <v>64.29</v>
      </c>
      <c r="X1549" s="34" t="s">
        <v>54</v>
      </c>
      <c r="Y1549" s="33">
        <v>128.58</v>
      </c>
      <c r="AC1549" s="28">
        <v>64.29</v>
      </c>
      <c r="AD1549" s="34" t="s">
        <v>54</v>
      </c>
      <c r="AE1549" s="33">
        <v>128.58</v>
      </c>
      <c r="AN1549" s="7" t="s">
        <v>54</v>
      </c>
      <c r="AO1549" s="7" t="s">
        <v>55</v>
      </c>
      <c r="AP1549" s="7" t="s">
        <v>56</v>
      </c>
      <c r="AT1549" s="47" t="s">
        <v>57</v>
      </c>
      <c r="AU1549" s="47" t="s">
        <v>57</v>
      </c>
    </row>
    <row r="1550" spans="1:47">
      <c r="A1550" s="4" t="s">
        <v>48</v>
      </c>
      <c r="C1550" s="21"/>
      <c r="D1550" s="22" t="s">
        <v>49</v>
      </c>
      <c r="G1550" s="23">
        <v>45076</v>
      </c>
      <c r="H1550" s="24" t="s">
        <v>4591</v>
      </c>
      <c r="J1550" s="28" t="s">
        <v>51</v>
      </c>
      <c r="L1550" s="24" t="s">
        <v>4592</v>
      </c>
      <c r="M1550" s="1" t="str">
        <f>"341202198010011635"</f>
        <v>341202198010011635</v>
      </c>
      <c r="N1550" s="24" t="s">
        <v>4592</v>
      </c>
      <c r="O1550" s="1" t="str">
        <f>"341202198010011635"</f>
        <v>341202198010011635</v>
      </c>
      <c r="P1550" s="23" t="s">
        <v>4593</v>
      </c>
      <c r="Q1550" s="23">
        <v>45077</v>
      </c>
      <c r="R1550" s="32">
        <v>45443</v>
      </c>
      <c r="V1550" s="33">
        <v>200</v>
      </c>
      <c r="W1550" s="28">
        <v>64.29</v>
      </c>
      <c r="X1550" s="34" t="s">
        <v>54</v>
      </c>
      <c r="Y1550" s="33">
        <v>128.58</v>
      </c>
      <c r="AC1550" s="28">
        <v>64.29</v>
      </c>
      <c r="AD1550" s="34" t="s">
        <v>54</v>
      </c>
      <c r="AE1550" s="33">
        <v>128.58</v>
      </c>
      <c r="AN1550" s="7" t="s">
        <v>54</v>
      </c>
      <c r="AO1550" s="7" t="s">
        <v>55</v>
      </c>
      <c r="AP1550" s="7" t="s">
        <v>56</v>
      </c>
      <c r="AT1550" s="47" t="s">
        <v>57</v>
      </c>
      <c r="AU1550" s="47" t="s">
        <v>57</v>
      </c>
    </row>
    <row r="1551" spans="1:47">
      <c r="A1551" s="4" t="s">
        <v>48</v>
      </c>
      <c r="C1551" s="21"/>
      <c r="D1551" s="22" t="s">
        <v>49</v>
      </c>
      <c r="G1551" s="23">
        <v>45098</v>
      </c>
      <c r="H1551" s="24" t="s">
        <v>4594</v>
      </c>
      <c r="J1551" s="28" t="s">
        <v>51</v>
      </c>
      <c r="L1551" s="24" t="s">
        <v>4595</v>
      </c>
      <c r="M1551" s="1" t="str">
        <f>"131082197111050286"</f>
        <v>131082197111050286</v>
      </c>
      <c r="N1551" s="24" t="s">
        <v>4595</v>
      </c>
      <c r="O1551" s="1" t="str">
        <f>"131082197111050286"</f>
        <v>131082197111050286</v>
      </c>
      <c r="P1551" s="23" t="s">
        <v>4596</v>
      </c>
      <c r="Q1551" s="23">
        <v>45099</v>
      </c>
      <c r="R1551" s="32">
        <v>45465</v>
      </c>
      <c r="V1551" s="33">
        <v>50</v>
      </c>
      <c r="W1551" s="28">
        <v>64.29</v>
      </c>
      <c r="X1551" s="34" t="s">
        <v>54</v>
      </c>
      <c r="Y1551" s="33">
        <v>32.15</v>
      </c>
      <c r="AC1551" s="28">
        <v>64.29</v>
      </c>
      <c r="AD1551" s="34" t="s">
        <v>54</v>
      </c>
      <c r="AE1551" s="33">
        <v>32.15</v>
      </c>
      <c r="AN1551" s="7" t="s">
        <v>54</v>
      </c>
      <c r="AO1551" s="7" t="s">
        <v>55</v>
      </c>
      <c r="AP1551" s="7" t="s">
        <v>56</v>
      </c>
      <c r="AT1551" s="47" t="s">
        <v>57</v>
      </c>
      <c r="AU1551" s="47" t="s">
        <v>57</v>
      </c>
    </row>
    <row r="1552" spans="1:47">
      <c r="A1552" s="4" t="s">
        <v>48</v>
      </c>
      <c r="C1552" s="21"/>
      <c r="D1552" s="22" t="s">
        <v>49</v>
      </c>
      <c r="G1552" s="23">
        <v>45100</v>
      </c>
      <c r="H1552" s="24" t="s">
        <v>4597</v>
      </c>
      <c r="J1552" s="28" t="s">
        <v>51</v>
      </c>
      <c r="L1552" s="24" t="s">
        <v>4598</v>
      </c>
      <c r="M1552" s="1" t="str">
        <f>"131022198206014219"</f>
        <v>131022198206014219</v>
      </c>
      <c r="N1552" s="24" t="s">
        <v>4598</v>
      </c>
      <c r="O1552" s="1" t="str">
        <f>"131022198206014219"</f>
        <v>131022198206014219</v>
      </c>
      <c r="P1552" s="23" t="s">
        <v>4599</v>
      </c>
      <c r="Q1552" s="23">
        <v>45101</v>
      </c>
      <c r="R1552" s="32">
        <v>45467</v>
      </c>
      <c r="V1552" s="33">
        <v>50</v>
      </c>
      <c r="W1552" s="28">
        <v>64.29</v>
      </c>
      <c r="X1552" s="34" t="s">
        <v>54</v>
      </c>
      <c r="Y1552" s="33">
        <v>32.15</v>
      </c>
      <c r="AC1552" s="28">
        <v>64.29</v>
      </c>
      <c r="AD1552" s="34" t="s">
        <v>54</v>
      </c>
      <c r="AE1552" s="33">
        <v>32.15</v>
      </c>
      <c r="AN1552" s="7" t="s">
        <v>54</v>
      </c>
      <c r="AO1552" s="7" t="s">
        <v>55</v>
      </c>
      <c r="AP1552" s="7" t="s">
        <v>56</v>
      </c>
      <c r="AT1552" s="47" t="s">
        <v>57</v>
      </c>
      <c r="AU1552" s="47" t="s">
        <v>57</v>
      </c>
    </row>
    <row r="1553" spans="1:47">
      <c r="A1553" s="4" t="s">
        <v>48</v>
      </c>
      <c r="C1553" s="21"/>
      <c r="D1553" s="22" t="s">
        <v>49</v>
      </c>
      <c r="G1553" s="23">
        <v>45102</v>
      </c>
      <c r="H1553" s="24" t="s">
        <v>4600</v>
      </c>
      <c r="J1553" s="28" t="s">
        <v>51</v>
      </c>
      <c r="L1553" s="24" t="s">
        <v>4601</v>
      </c>
      <c r="M1553" s="1" t="str">
        <f>"132821195905158275"</f>
        <v>132821195905158275</v>
      </c>
      <c r="N1553" s="24" t="s">
        <v>4601</v>
      </c>
      <c r="O1553" s="1" t="str">
        <f>"132821195905158275"</f>
        <v>132821195905158275</v>
      </c>
      <c r="P1553" s="23" t="s">
        <v>4584</v>
      </c>
      <c r="Q1553" s="23">
        <v>45103</v>
      </c>
      <c r="R1553" s="32">
        <v>45469</v>
      </c>
      <c r="V1553" s="33">
        <v>50</v>
      </c>
      <c r="W1553" s="28">
        <v>64.29</v>
      </c>
      <c r="X1553" s="34" t="s">
        <v>54</v>
      </c>
      <c r="Y1553" s="33">
        <v>32.15</v>
      </c>
      <c r="AC1553" s="28">
        <v>64.29</v>
      </c>
      <c r="AD1553" s="34" t="s">
        <v>54</v>
      </c>
      <c r="AE1553" s="33">
        <v>32.15</v>
      </c>
      <c r="AN1553" s="7" t="s">
        <v>54</v>
      </c>
      <c r="AO1553" s="7" t="s">
        <v>55</v>
      </c>
      <c r="AP1553" s="7" t="s">
        <v>56</v>
      </c>
      <c r="AT1553" s="47" t="s">
        <v>57</v>
      </c>
      <c r="AU1553" s="47" t="s">
        <v>57</v>
      </c>
    </row>
    <row r="1554" spans="1:47">
      <c r="A1554" s="4" t="s">
        <v>48</v>
      </c>
      <c r="C1554" s="21"/>
      <c r="D1554" s="22" t="s">
        <v>49</v>
      </c>
      <c r="G1554" s="23">
        <v>45097</v>
      </c>
      <c r="H1554" s="24" t="s">
        <v>4602</v>
      </c>
      <c r="J1554" s="28" t="s">
        <v>51</v>
      </c>
      <c r="L1554" s="24" t="s">
        <v>4603</v>
      </c>
      <c r="M1554" s="1" t="str">
        <f>"341202198508311723"</f>
        <v>341202198508311723</v>
      </c>
      <c r="N1554" s="24" t="s">
        <v>4603</v>
      </c>
      <c r="O1554" s="1" t="str">
        <f>"341202198508311723"</f>
        <v>341202198508311723</v>
      </c>
      <c r="P1554" s="23" t="s">
        <v>4604</v>
      </c>
      <c r="Q1554" s="23">
        <v>45098</v>
      </c>
      <c r="R1554" s="32">
        <v>45464</v>
      </c>
      <c r="V1554" s="33">
        <v>50</v>
      </c>
      <c r="W1554" s="28">
        <v>64.29</v>
      </c>
      <c r="X1554" s="34" t="s">
        <v>54</v>
      </c>
      <c r="Y1554" s="33">
        <v>32.15</v>
      </c>
      <c r="AC1554" s="28">
        <v>64.29</v>
      </c>
      <c r="AD1554" s="34" t="s">
        <v>54</v>
      </c>
      <c r="AE1554" s="33">
        <v>32.15</v>
      </c>
      <c r="AN1554" s="7" t="s">
        <v>54</v>
      </c>
      <c r="AO1554" s="7" t="s">
        <v>55</v>
      </c>
      <c r="AP1554" s="7" t="s">
        <v>56</v>
      </c>
      <c r="AT1554" s="47" t="s">
        <v>57</v>
      </c>
      <c r="AU1554" s="47" t="s">
        <v>57</v>
      </c>
    </row>
    <row r="1555" spans="1:47">
      <c r="A1555" s="4" t="s">
        <v>48</v>
      </c>
      <c r="C1555" s="21"/>
      <c r="D1555" s="22" t="s">
        <v>49</v>
      </c>
      <c r="G1555" s="23">
        <v>45096</v>
      </c>
      <c r="H1555" s="24" t="s">
        <v>4605</v>
      </c>
      <c r="J1555" s="28" t="s">
        <v>51</v>
      </c>
      <c r="L1555" s="24" t="s">
        <v>4606</v>
      </c>
      <c r="M1555" s="1" t="str">
        <f>"342122195104060291"</f>
        <v>342122195104060291</v>
      </c>
      <c r="N1555" s="24" t="s">
        <v>4606</v>
      </c>
      <c r="O1555" s="1" t="str">
        <f>"342122195104060291"</f>
        <v>342122195104060291</v>
      </c>
      <c r="P1555" s="23" t="s">
        <v>4607</v>
      </c>
      <c r="Q1555" s="23">
        <v>45097</v>
      </c>
      <c r="R1555" s="32">
        <v>45463</v>
      </c>
      <c r="V1555" s="33">
        <v>50</v>
      </c>
      <c r="W1555" s="28">
        <v>64.29</v>
      </c>
      <c r="X1555" s="34" t="s">
        <v>54</v>
      </c>
      <c r="Y1555" s="33">
        <v>32.15</v>
      </c>
      <c r="AC1555" s="28">
        <v>64.29</v>
      </c>
      <c r="AD1555" s="34" t="s">
        <v>54</v>
      </c>
      <c r="AE1555" s="33">
        <v>32.15</v>
      </c>
      <c r="AN1555" s="7" t="s">
        <v>54</v>
      </c>
      <c r="AO1555" s="7" t="s">
        <v>55</v>
      </c>
      <c r="AP1555" s="7" t="s">
        <v>56</v>
      </c>
      <c r="AT1555" s="47" t="s">
        <v>57</v>
      </c>
      <c r="AU1555" s="47" t="s">
        <v>57</v>
      </c>
    </row>
    <row r="1556" spans="1:47">
      <c r="A1556" s="4" t="s">
        <v>48</v>
      </c>
      <c r="C1556" s="21"/>
      <c r="D1556" s="22" t="s">
        <v>49</v>
      </c>
      <c r="G1556" s="23">
        <v>45102</v>
      </c>
      <c r="H1556" s="24" t="s">
        <v>4608</v>
      </c>
      <c r="J1556" s="28" t="s">
        <v>51</v>
      </c>
      <c r="L1556" s="24" t="s">
        <v>4609</v>
      </c>
      <c r="M1556" s="1" t="str">
        <f>"131022199403014239"</f>
        <v>131022199403014239</v>
      </c>
      <c r="N1556" s="24" t="s">
        <v>4609</v>
      </c>
      <c r="O1556" s="1" t="str">
        <f>"131022199403014239"</f>
        <v>131022199403014239</v>
      </c>
      <c r="P1556" s="23" t="s">
        <v>4610</v>
      </c>
      <c r="Q1556" s="23">
        <v>45103</v>
      </c>
      <c r="R1556" s="32">
        <v>45469</v>
      </c>
      <c r="V1556" s="33">
        <v>100</v>
      </c>
      <c r="W1556" s="28">
        <v>64.29</v>
      </c>
      <c r="X1556" s="34" t="s">
        <v>54</v>
      </c>
      <c r="Y1556" s="33">
        <v>64.29</v>
      </c>
      <c r="AC1556" s="28">
        <v>64.29</v>
      </c>
      <c r="AD1556" s="34" t="s">
        <v>54</v>
      </c>
      <c r="AE1556" s="33">
        <v>64.29</v>
      </c>
      <c r="AN1556" s="7" t="s">
        <v>54</v>
      </c>
      <c r="AO1556" s="7" t="s">
        <v>55</v>
      </c>
      <c r="AP1556" s="7" t="s">
        <v>56</v>
      </c>
      <c r="AT1556" s="47" t="s">
        <v>57</v>
      </c>
      <c r="AU1556" s="47" t="s">
        <v>57</v>
      </c>
    </row>
    <row r="1557" spans="1:47">
      <c r="A1557" s="4" t="s">
        <v>48</v>
      </c>
      <c r="C1557" s="21"/>
      <c r="D1557" s="22" t="s">
        <v>49</v>
      </c>
      <c r="G1557" s="23">
        <v>45102</v>
      </c>
      <c r="H1557" s="24" t="s">
        <v>4611</v>
      </c>
      <c r="J1557" s="28" t="s">
        <v>51</v>
      </c>
      <c r="L1557" s="24" t="s">
        <v>4612</v>
      </c>
      <c r="M1557" s="1" t="str">
        <f>"131082198302090023"</f>
        <v>131082198302090023</v>
      </c>
      <c r="N1557" s="24" t="s">
        <v>4612</v>
      </c>
      <c r="O1557" s="1" t="str">
        <f>"131082198302090023"</f>
        <v>131082198302090023</v>
      </c>
      <c r="P1557" s="23" t="s">
        <v>4613</v>
      </c>
      <c r="Q1557" s="23">
        <v>45103</v>
      </c>
      <c r="R1557" s="32">
        <v>45469</v>
      </c>
      <c r="V1557" s="33">
        <v>100</v>
      </c>
      <c r="W1557" s="28">
        <v>64.29</v>
      </c>
      <c r="X1557" s="34" t="s">
        <v>54</v>
      </c>
      <c r="Y1557" s="33">
        <v>64.29</v>
      </c>
      <c r="AC1557" s="28">
        <v>64.29</v>
      </c>
      <c r="AD1557" s="34" t="s">
        <v>54</v>
      </c>
      <c r="AE1557" s="33">
        <v>64.29</v>
      </c>
      <c r="AN1557" s="7" t="s">
        <v>54</v>
      </c>
      <c r="AO1557" s="7" t="s">
        <v>55</v>
      </c>
      <c r="AP1557" s="7" t="s">
        <v>56</v>
      </c>
      <c r="AT1557" s="47" t="s">
        <v>57</v>
      </c>
      <c r="AU1557" s="47" t="s">
        <v>57</v>
      </c>
    </row>
    <row r="1558" spans="1:47">
      <c r="A1558" s="4" t="s">
        <v>48</v>
      </c>
      <c r="C1558" s="21"/>
      <c r="D1558" s="22" t="s">
        <v>49</v>
      </c>
      <c r="G1558" s="23">
        <v>45102</v>
      </c>
      <c r="H1558" s="24" t="s">
        <v>4614</v>
      </c>
      <c r="J1558" s="28" t="s">
        <v>51</v>
      </c>
      <c r="L1558" s="24" t="s">
        <v>4615</v>
      </c>
      <c r="M1558" s="1" t="str">
        <f>"341202199202172921"</f>
        <v>341202199202172921</v>
      </c>
      <c r="N1558" s="24" t="s">
        <v>4615</v>
      </c>
      <c r="O1558" s="1" t="str">
        <f>"341202199202172921"</f>
        <v>341202199202172921</v>
      </c>
      <c r="P1558" s="23" t="s">
        <v>4616</v>
      </c>
      <c r="Q1558" s="23">
        <v>45103</v>
      </c>
      <c r="R1558" s="32">
        <v>45469</v>
      </c>
      <c r="V1558" s="33">
        <v>100</v>
      </c>
      <c r="W1558" s="28">
        <v>64.29</v>
      </c>
      <c r="X1558" s="34" t="s">
        <v>54</v>
      </c>
      <c r="Y1558" s="33">
        <v>64.29</v>
      </c>
      <c r="AC1558" s="28">
        <v>64.29</v>
      </c>
      <c r="AD1558" s="34" t="s">
        <v>54</v>
      </c>
      <c r="AE1558" s="33">
        <v>64.29</v>
      </c>
      <c r="AN1558" s="7" t="s">
        <v>54</v>
      </c>
      <c r="AO1558" s="7" t="s">
        <v>55</v>
      </c>
      <c r="AP1558" s="7" t="s">
        <v>56</v>
      </c>
      <c r="AT1558" s="47" t="s">
        <v>57</v>
      </c>
      <c r="AU1558" s="47" t="s">
        <v>57</v>
      </c>
    </row>
    <row r="1559" spans="1:47">
      <c r="A1559" s="4" t="s">
        <v>48</v>
      </c>
      <c r="C1559" s="21"/>
      <c r="D1559" s="22" t="s">
        <v>49</v>
      </c>
      <c r="G1559" s="23">
        <v>45102</v>
      </c>
      <c r="H1559" s="24" t="s">
        <v>4617</v>
      </c>
      <c r="J1559" s="28" t="s">
        <v>51</v>
      </c>
      <c r="L1559" s="24" t="s">
        <v>4618</v>
      </c>
      <c r="M1559" s="1" t="str">
        <f>"130929200009010334"</f>
        <v>130929200009010334</v>
      </c>
      <c r="N1559" s="24" t="s">
        <v>4618</v>
      </c>
      <c r="O1559" s="1" t="str">
        <f>"130929200009010334"</f>
        <v>130929200009010334</v>
      </c>
      <c r="P1559" s="23" t="s">
        <v>4619</v>
      </c>
      <c r="Q1559" s="23">
        <v>45103</v>
      </c>
      <c r="R1559" s="32">
        <v>45469</v>
      </c>
      <c r="V1559" s="33">
        <v>100</v>
      </c>
      <c r="W1559" s="28">
        <v>64.29</v>
      </c>
      <c r="X1559" s="34" t="s">
        <v>54</v>
      </c>
      <c r="Y1559" s="33">
        <v>64.29</v>
      </c>
      <c r="AC1559" s="28">
        <v>64.29</v>
      </c>
      <c r="AD1559" s="34" t="s">
        <v>54</v>
      </c>
      <c r="AE1559" s="33">
        <v>64.29</v>
      </c>
      <c r="AN1559" s="7" t="s">
        <v>54</v>
      </c>
      <c r="AO1559" s="7" t="s">
        <v>55</v>
      </c>
      <c r="AP1559" s="7" t="s">
        <v>56</v>
      </c>
      <c r="AT1559" s="47" t="s">
        <v>57</v>
      </c>
      <c r="AU1559" s="47" t="s">
        <v>57</v>
      </c>
    </row>
    <row r="1560" spans="1:47">
      <c r="A1560" s="4" t="s">
        <v>48</v>
      </c>
      <c r="C1560" s="21"/>
      <c r="D1560" s="22" t="s">
        <v>49</v>
      </c>
      <c r="G1560" s="23">
        <v>45100</v>
      </c>
      <c r="H1560" s="24" t="s">
        <v>4620</v>
      </c>
      <c r="J1560" s="28" t="s">
        <v>51</v>
      </c>
      <c r="L1560" s="24" t="s">
        <v>4621</v>
      </c>
      <c r="M1560" s="1" t="str">
        <f>"131082198604287112"</f>
        <v>131082198604287112</v>
      </c>
      <c r="N1560" s="24" t="s">
        <v>4621</v>
      </c>
      <c r="O1560" s="1" t="str">
        <f>"131082198604287112"</f>
        <v>131082198604287112</v>
      </c>
      <c r="P1560" s="23" t="s">
        <v>4622</v>
      </c>
      <c r="Q1560" s="23">
        <v>45101</v>
      </c>
      <c r="R1560" s="32">
        <v>45467</v>
      </c>
      <c r="V1560" s="33">
        <v>100</v>
      </c>
      <c r="W1560" s="28">
        <v>64.29</v>
      </c>
      <c r="X1560" s="34" t="s">
        <v>54</v>
      </c>
      <c r="Y1560" s="33">
        <v>64.29</v>
      </c>
      <c r="AC1560" s="28">
        <v>64.29</v>
      </c>
      <c r="AD1560" s="34" t="s">
        <v>54</v>
      </c>
      <c r="AE1560" s="33">
        <v>64.29</v>
      </c>
      <c r="AN1560" s="7" t="s">
        <v>54</v>
      </c>
      <c r="AO1560" s="7" t="s">
        <v>55</v>
      </c>
      <c r="AP1560" s="7" t="s">
        <v>56</v>
      </c>
      <c r="AT1560" s="47" t="s">
        <v>57</v>
      </c>
      <c r="AU1560" s="47" t="s">
        <v>57</v>
      </c>
    </row>
    <row r="1561" spans="1:47">
      <c r="A1561" s="4" t="s">
        <v>48</v>
      </c>
      <c r="C1561" s="21"/>
      <c r="D1561" s="22" t="s">
        <v>49</v>
      </c>
      <c r="G1561" s="23">
        <v>45098</v>
      </c>
      <c r="H1561" s="24" t="s">
        <v>4623</v>
      </c>
      <c r="J1561" s="28" t="s">
        <v>51</v>
      </c>
      <c r="L1561" s="24" t="s">
        <v>4624</v>
      </c>
      <c r="M1561" s="1" t="str">
        <f>"132404196304184271"</f>
        <v>132404196304184271</v>
      </c>
      <c r="N1561" s="24" t="s">
        <v>4624</v>
      </c>
      <c r="O1561" s="1" t="str">
        <f>"132404196304184271"</f>
        <v>132404196304184271</v>
      </c>
      <c r="P1561" s="23" t="s">
        <v>4625</v>
      </c>
      <c r="Q1561" s="23">
        <v>45099</v>
      </c>
      <c r="R1561" s="32">
        <v>45465</v>
      </c>
      <c r="V1561" s="33">
        <v>100</v>
      </c>
      <c r="W1561" s="28">
        <v>64.29</v>
      </c>
      <c r="X1561" s="34" t="s">
        <v>54</v>
      </c>
      <c r="Y1561" s="33">
        <v>64.29</v>
      </c>
      <c r="AC1561" s="28">
        <v>64.29</v>
      </c>
      <c r="AD1561" s="34" t="s">
        <v>54</v>
      </c>
      <c r="AE1561" s="33">
        <v>64.29</v>
      </c>
      <c r="AN1561" s="7" t="s">
        <v>54</v>
      </c>
      <c r="AO1561" s="7" t="s">
        <v>55</v>
      </c>
      <c r="AP1561" s="7" t="s">
        <v>56</v>
      </c>
      <c r="AT1561" s="47" t="s">
        <v>57</v>
      </c>
      <c r="AU1561" s="47" t="s">
        <v>57</v>
      </c>
    </row>
    <row r="1562" spans="1:47">
      <c r="A1562" s="4" t="s">
        <v>48</v>
      </c>
      <c r="C1562" s="21"/>
      <c r="D1562" s="22" t="s">
        <v>49</v>
      </c>
      <c r="G1562" s="23">
        <v>45102</v>
      </c>
      <c r="H1562" s="24" t="s">
        <v>4626</v>
      </c>
      <c r="J1562" s="28" t="s">
        <v>51</v>
      </c>
      <c r="L1562" s="24" t="s">
        <v>4627</v>
      </c>
      <c r="M1562" s="1" t="str">
        <f>"341221198707097335"</f>
        <v>341221198707097335</v>
      </c>
      <c r="N1562" s="24" t="s">
        <v>4627</v>
      </c>
      <c r="O1562" s="1" t="str">
        <f>"341221198707097335"</f>
        <v>341221198707097335</v>
      </c>
      <c r="P1562" s="23" t="s">
        <v>4628</v>
      </c>
      <c r="Q1562" s="23">
        <v>45225</v>
      </c>
      <c r="R1562" s="32">
        <v>45591</v>
      </c>
      <c r="V1562" s="33">
        <v>100</v>
      </c>
      <c r="W1562" s="28">
        <v>64.29</v>
      </c>
      <c r="X1562" s="34" t="s">
        <v>54</v>
      </c>
      <c r="Y1562" s="33">
        <v>64.29</v>
      </c>
      <c r="AC1562" s="28">
        <v>64.29</v>
      </c>
      <c r="AD1562" s="34" t="s">
        <v>54</v>
      </c>
      <c r="AE1562" s="33">
        <v>64.29</v>
      </c>
      <c r="AN1562" s="7" t="s">
        <v>54</v>
      </c>
      <c r="AO1562" s="7" t="s">
        <v>55</v>
      </c>
      <c r="AP1562" s="7" t="s">
        <v>56</v>
      </c>
      <c r="AT1562" s="47" t="s">
        <v>57</v>
      </c>
      <c r="AU1562" s="47" t="s">
        <v>57</v>
      </c>
    </row>
    <row r="1563" spans="1:47">
      <c r="A1563" s="4" t="s">
        <v>48</v>
      </c>
      <c r="C1563" s="21"/>
      <c r="D1563" s="22" t="s">
        <v>49</v>
      </c>
      <c r="G1563" s="23">
        <v>45089</v>
      </c>
      <c r="H1563" s="24" t="s">
        <v>4629</v>
      </c>
      <c r="J1563" s="28" t="s">
        <v>51</v>
      </c>
      <c r="L1563" s="24" t="s">
        <v>4630</v>
      </c>
      <c r="M1563" s="1" t="str">
        <f>"341202199203163533"</f>
        <v>341202199203163533</v>
      </c>
      <c r="N1563" s="24" t="s">
        <v>4630</v>
      </c>
      <c r="O1563" s="1" t="str">
        <f>"341202199203163533"</f>
        <v>341202199203163533</v>
      </c>
      <c r="P1563" s="23" t="s">
        <v>4631</v>
      </c>
      <c r="Q1563" s="23">
        <v>45212</v>
      </c>
      <c r="R1563" s="32">
        <v>45578</v>
      </c>
      <c r="V1563" s="33">
        <v>100</v>
      </c>
      <c r="W1563" s="28">
        <v>64.29</v>
      </c>
      <c r="X1563" s="34" t="s">
        <v>54</v>
      </c>
      <c r="Y1563" s="33">
        <v>64.29</v>
      </c>
      <c r="AC1563" s="28">
        <v>64.29</v>
      </c>
      <c r="AD1563" s="34" t="s">
        <v>54</v>
      </c>
      <c r="AE1563" s="33">
        <v>64.29</v>
      </c>
      <c r="AN1563" s="7" t="s">
        <v>54</v>
      </c>
      <c r="AO1563" s="7" t="s">
        <v>55</v>
      </c>
      <c r="AP1563" s="7" t="s">
        <v>56</v>
      </c>
      <c r="AT1563" s="47" t="s">
        <v>57</v>
      </c>
      <c r="AU1563" s="47" t="s">
        <v>57</v>
      </c>
    </row>
    <row r="1564" spans="1:47">
      <c r="A1564" s="4" t="s">
        <v>48</v>
      </c>
      <c r="C1564" s="21"/>
      <c r="D1564" s="22" t="s">
        <v>49</v>
      </c>
      <c r="G1564" s="23">
        <v>45089</v>
      </c>
      <c r="H1564" s="24" t="s">
        <v>4632</v>
      </c>
      <c r="J1564" s="28" t="s">
        <v>51</v>
      </c>
      <c r="L1564" s="24" t="s">
        <v>4633</v>
      </c>
      <c r="M1564" s="1" t="str">
        <f>"130926198410040856"</f>
        <v>130926198410040856</v>
      </c>
      <c r="N1564" s="24" t="s">
        <v>4633</v>
      </c>
      <c r="O1564" s="1" t="str">
        <f>"130926198410040856"</f>
        <v>130926198410040856</v>
      </c>
      <c r="P1564" s="23" t="s">
        <v>4634</v>
      </c>
      <c r="Q1564" s="23">
        <v>45090</v>
      </c>
      <c r="R1564" s="32">
        <v>45456</v>
      </c>
      <c r="V1564" s="33">
        <v>100</v>
      </c>
      <c r="W1564" s="28">
        <v>64.29</v>
      </c>
      <c r="X1564" s="34" t="s">
        <v>54</v>
      </c>
      <c r="Y1564" s="33">
        <v>64.29</v>
      </c>
      <c r="AC1564" s="28">
        <v>64.29</v>
      </c>
      <c r="AD1564" s="34" t="s">
        <v>54</v>
      </c>
      <c r="AE1564" s="33">
        <v>64.29</v>
      </c>
      <c r="AN1564" s="7" t="s">
        <v>54</v>
      </c>
      <c r="AO1564" s="7" t="s">
        <v>55</v>
      </c>
      <c r="AP1564" s="7" t="s">
        <v>56</v>
      </c>
      <c r="AT1564" s="47" t="s">
        <v>57</v>
      </c>
      <c r="AU1564" s="47" t="s">
        <v>57</v>
      </c>
    </row>
    <row r="1565" spans="1:47">
      <c r="A1565" s="4" t="s">
        <v>48</v>
      </c>
      <c r="C1565" s="21"/>
      <c r="D1565" s="22" t="s">
        <v>49</v>
      </c>
      <c r="G1565" s="23">
        <v>45090</v>
      </c>
      <c r="H1565" s="24" t="s">
        <v>4635</v>
      </c>
      <c r="J1565" s="28" t="s">
        <v>51</v>
      </c>
      <c r="L1565" s="24" t="s">
        <v>4636</v>
      </c>
      <c r="M1565" s="1" t="str">
        <f>"131082198602061515"</f>
        <v>131082198602061515</v>
      </c>
      <c r="N1565" s="24" t="s">
        <v>4636</v>
      </c>
      <c r="O1565" s="1" t="str">
        <f>"131082198602061515"</f>
        <v>131082198602061515</v>
      </c>
      <c r="P1565" s="23" t="s">
        <v>4637</v>
      </c>
      <c r="Q1565" s="23">
        <v>45139</v>
      </c>
      <c r="R1565" s="32">
        <v>45505</v>
      </c>
      <c r="V1565" s="33">
        <v>100</v>
      </c>
      <c r="W1565" s="28">
        <v>64.29</v>
      </c>
      <c r="X1565" s="34" t="s">
        <v>54</v>
      </c>
      <c r="Y1565" s="33">
        <v>64.29</v>
      </c>
      <c r="AC1565" s="28">
        <v>64.29</v>
      </c>
      <c r="AD1565" s="34" t="s">
        <v>54</v>
      </c>
      <c r="AE1565" s="33">
        <v>64.29</v>
      </c>
      <c r="AN1565" s="7" t="s">
        <v>54</v>
      </c>
      <c r="AO1565" s="7" t="s">
        <v>55</v>
      </c>
      <c r="AP1565" s="7" t="s">
        <v>56</v>
      </c>
      <c r="AT1565" s="47" t="s">
        <v>57</v>
      </c>
      <c r="AU1565" s="47" t="s">
        <v>57</v>
      </c>
    </row>
    <row r="1566" spans="1:47">
      <c r="A1566" s="4" t="s">
        <v>48</v>
      </c>
      <c r="C1566" s="21"/>
      <c r="D1566" s="22" t="s">
        <v>49</v>
      </c>
      <c r="G1566" s="23">
        <v>45089</v>
      </c>
      <c r="H1566" s="24" t="s">
        <v>4638</v>
      </c>
      <c r="J1566" s="28" t="s">
        <v>51</v>
      </c>
      <c r="L1566" s="24" t="s">
        <v>4639</v>
      </c>
      <c r="M1566" s="1" t="str">
        <f>"131023198310082816"</f>
        <v>131023198310082816</v>
      </c>
      <c r="N1566" s="24" t="s">
        <v>4639</v>
      </c>
      <c r="O1566" s="1" t="str">
        <f>"131023198310082816"</f>
        <v>131023198310082816</v>
      </c>
      <c r="P1566" s="23" t="s">
        <v>4640</v>
      </c>
      <c r="Q1566" s="23">
        <v>45212</v>
      </c>
      <c r="R1566" s="32">
        <v>45578</v>
      </c>
      <c r="V1566" s="33">
        <v>100</v>
      </c>
      <c r="W1566" s="28">
        <v>64.29</v>
      </c>
      <c r="X1566" s="34" t="s">
        <v>54</v>
      </c>
      <c r="Y1566" s="33">
        <v>64.29</v>
      </c>
      <c r="AC1566" s="28">
        <v>64.29</v>
      </c>
      <c r="AD1566" s="34" t="s">
        <v>54</v>
      </c>
      <c r="AE1566" s="33">
        <v>64.29</v>
      </c>
      <c r="AN1566" s="7" t="s">
        <v>54</v>
      </c>
      <c r="AO1566" s="7" t="s">
        <v>55</v>
      </c>
      <c r="AP1566" s="7" t="s">
        <v>56</v>
      </c>
      <c r="AT1566" s="47" t="s">
        <v>57</v>
      </c>
      <c r="AU1566" s="47" t="s">
        <v>57</v>
      </c>
    </row>
    <row r="1567" spans="1:47">
      <c r="A1567" s="4" t="s">
        <v>48</v>
      </c>
      <c r="C1567" s="21"/>
      <c r="D1567" s="22" t="s">
        <v>49</v>
      </c>
      <c r="G1567" s="23">
        <v>45077</v>
      </c>
      <c r="H1567" s="24" t="s">
        <v>4641</v>
      </c>
      <c r="J1567" s="28" t="s">
        <v>51</v>
      </c>
      <c r="L1567" s="24" t="s">
        <v>4642</v>
      </c>
      <c r="M1567" s="1" t="str">
        <f>"132821196805208276"</f>
        <v>132821196805208276</v>
      </c>
      <c r="N1567" s="24" t="s">
        <v>4642</v>
      </c>
      <c r="O1567" s="1" t="str">
        <f>"132821196805208276"</f>
        <v>132821196805208276</v>
      </c>
      <c r="P1567" s="23" t="s">
        <v>4643</v>
      </c>
      <c r="Q1567" s="23">
        <v>45288</v>
      </c>
      <c r="R1567" s="32">
        <v>45654</v>
      </c>
      <c r="V1567" s="33">
        <v>100</v>
      </c>
      <c r="W1567" s="28">
        <v>64.29</v>
      </c>
      <c r="X1567" s="34" t="s">
        <v>54</v>
      </c>
      <c r="Y1567" s="33">
        <v>64.29</v>
      </c>
      <c r="AC1567" s="28">
        <v>64.29</v>
      </c>
      <c r="AD1567" s="34" t="s">
        <v>54</v>
      </c>
      <c r="AE1567" s="33">
        <v>64.29</v>
      </c>
      <c r="AN1567" s="7" t="s">
        <v>54</v>
      </c>
      <c r="AO1567" s="7" t="s">
        <v>55</v>
      </c>
      <c r="AP1567" s="7" t="s">
        <v>56</v>
      </c>
      <c r="AT1567" s="47" t="s">
        <v>57</v>
      </c>
      <c r="AU1567" s="47" t="s">
        <v>57</v>
      </c>
    </row>
    <row r="1568" spans="1:47">
      <c r="A1568" s="4" t="s">
        <v>48</v>
      </c>
      <c r="C1568" s="21"/>
      <c r="D1568" s="22" t="s">
        <v>49</v>
      </c>
      <c r="G1568" s="23">
        <v>45075</v>
      </c>
      <c r="H1568" s="24" t="s">
        <v>4644</v>
      </c>
      <c r="J1568" s="28" t="s">
        <v>51</v>
      </c>
      <c r="L1568" s="24" t="s">
        <v>4645</v>
      </c>
      <c r="M1568" s="1" t="str">
        <f>"130926196701020434"</f>
        <v>130926196701020434</v>
      </c>
      <c r="N1568" s="24" t="s">
        <v>4645</v>
      </c>
      <c r="O1568" s="1" t="str">
        <f>"130926196701020434"</f>
        <v>130926196701020434</v>
      </c>
      <c r="P1568" s="23" t="s">
        <v>4646</v>
      </c>
      <c r="Q1568" s="23">
        <v>45076</v>
      </c>
      <c r="R1568" s="32">
        <v>45442</v>
      </c>
      <c r="V1568" s="33">
        <v>200</v>
      </c>
      <c r="W1568" s="28">
        <v>64.29</v>
      </c>
      <c r="X1568" s="34" t="s">
        <v>54</v>
      </c>
      <c r="Y1568" s="33">
        <v>128.58</v>
      </c>
      <c r="AC1568" s="28">
        <v>64.29</v>
      </c>
      <c r="AD1568" s="34" t="s">
        <v>54</v>
      </c>
      <c r="AE1568" s="33">
        <v>128.58</v>
      </c>
      <c r="AN1568" s="7" t="s">
        <v>54</v>
      </c>
      <c r="AO1568" s="7" t="s">
        <v>55</v>
      </c>
      <c r="AP1568" s="7" t="s">
        <v>56</v>
      </c>
      <c r="AT1568" s="47" t="s">
        <v>57</v>
      </c>
      <c r="AU1568" s="47" t="s">
        <v>57</v>
      </c>
    </row>
    <row r="1569" spans="1:47">
      <c r="A1569" s="4" t="s">
        <v>48</v>
      </c>
      <c r="C1569" s="21"/>
      <c r="D1569" s="22" t="s">
        <v>49</v>
      </c>
      <c r="G1569" s="23">
        <v>45074</v>
      </c>
      <c r="H1569" s="24" t="s">
        <v>4647</v>
      </c>
      <c r="J1569" s="28" t="s">
        <v>51</v>
      </c>
      <c r="L1569" s="24" t="s">
        <v>4648</v>
      </c>
      <c r="M1569" s="1" t="str">
        <f>"13092919860401804X"</f>
        <v>13092919860401804X</v>
      </c>
      <c r="N1569" s="24" t="s">
        <v>4648</v>
      </c>
      <c r="O1569" s="1" t="str">
        <f>"13092919860401804X"</f>
        <v>13092919860401804X</v>
      </c>
      <c r="P1569" s="23" t="s">
        <v>4649</v>
      </c>
      <c r="Q1569" s="23">
        <v>45075</v>
      </c>
      <c r="R1569" s="32">
        <v>45441</v>
      </c>
      <c r="V1569" s="33">
        <v>200</v>
      </c>
      <c r="W1569" s="28">
        <v>64.29</v>
      </c>
      <c r="X1569" s="34" t="s">
        <v>54</v>
      </c>
      <c r="Y1569" s="33">
        <v>128.58</v>
      </c>
      <c r="AC1569" s="28">
        <v>64.29</v>
      </c>
      <c r="AD1569" s="34" t="s">
        <v>54</v>
      </c>
      <c r="AE1569" s="33">
        <v>128.58</v>
      </c>
      <c r="AN1569" s="7" t="s">
        <v>54</v>
      </c>
      <c r="AO1569" s="7" t="s">
        <v>55</v>
      </c>
      <c r="AP1569" s="7" t="s">
        <v>56</v>
      </c>
      <c r="AT1569" s="47" t="s">
        <v>57</v>
      </c>
      <c r="AU1569" s="47" t="s">
        <v>57</v>
      </c>
    </row>
    <row r="1570" spans="1:47">
      <c r="A1570" s="4" t="s">
        <v>48</v>
      </c>
      <c r="C1570" s="21"/>
      <c r="D1570" s="22" t="s">
        <v>49</v>
      </c>
      <c r="G1570" s="23">
        <v>45076</v>
      </c>
      <c r="H1570" s="24" t="s">
        <v>4650</v>
      </c>
      <c r="J1570" s="28" t="s">
        <v>51</v>
      </c>
      <c r="L1570" s="24" t="s">
        <v>4651</v>
      </c>
      <c r="M1570" s="1" t="str">
        <f>"341221197807104411"</f>
        <v>341221197807104411</v>
      </c>
      <c r="N1570" s="24" t="s">
        <v>4651</v>
      </c>
      <c r="O1570" s="1" t="str">
        <f>"341221197807104411"</f>
        <v>341221197807104411</v>
      </c>
      <c r="P1570" s="23" t="s">
        <v>4652</v>
      </c>
      <c r="Q1570" s="23">
        <v>45200</v>
      </c>
      <c r="R1570" s="32">
        <v>45566</v>
      </c>
      <c r="V1570" s="33">
        <v>200</v>
      </c>
      <c r="W1570" s="28">
        <v>64.29</v>
      </c>
      <c r="X1570" s="34" t="s">
        <v>54</v>
      </c>
      <c r="Y1570" s="33">
        <v>128.58</v>
      </c>
      <c r="AC1570" s="28">
        <v>64.29</v>
      </c>
      <c r="AD1570" s="34" t="s">
        <v>54</v>
      </c>
      <c r="AE1570" s="33">
        <v>128.58</v>
      </c>
      <c r="AN1570" s="7" t="s">
        <v>54</v>
      </c>
      <c r="AO1570" s="7" t="s">
        <v>55</v>
      </c>
      <c r="AP1570" s="7" t="s">
        <v>56</v>
      </c>
      <c r="AT1570" s="47" t="s">
        <v>57</v>
      </c>
      <c r="AU1570" s="47" t="s">
        <v>57</v>
      </c>
    </row>
    <row r="1571" spans="1:47">
      <c r="A1571" s="4" t="s">
        <v>48</v>
      </c>
      <c r="C1571" s="21"/>
      <c r="D1571" s="22" t="s">
        <v>49</v>
      </c>
      <c r="G1571" s="23">
        <v>45093</v>
      </c>
      <c r="H1571" s="24" t="s">
        <v>4653</v>
      </c>
      <c r="J1571" s="28" t="s">
        <v>51</v>
      </c>
      <c r="L1571" s="24" t="s">
        <v>4654</v>
      </c>
      <c r="M1571" s="1" t="str">
        <f>"220181198901164725"</f>
        <v>220181198901164725</v>
      </c>
      <c r="N1571" s="24" t="s">
        <v>4654</v>
      </c>
      <c r="O1571" s="1" t="str">
        <f>"220181198901164725"</f>
        <v>220181198901164725</v>
      </c>
      <c r="P1571" s="23" t="s">
        <v>4655</v>
      </c>
      <c r="Q1571" s="23">
        <v>45094</v>
      </c>
      <c r="R1571" s="32">
        <v>45460</v>
      </c>
      <c r="V1571" s="33">
        <v>300</v>
      </c>
      <c r="W1571" s="28">
        <v>64.29</v>
      </c>
      <c r="X1571" s="34" t="s">
        <v>54</v>
      </c>
      <c r="Y1571" s="33">
        <v>192.87</v>
      </c>
      <c r="AC1571" s="28">
        <v>64.29</v>
      </c>
      <c r="AD1571" s="34" t="s">
        <v>54</v>
      </c>
      <c r="AE1571" s="33">
        <v>192.87</v>
      </c>
      <c r="AN1571" s="7" t="s">
        <v>54</v>
      </c>
      <c r="AO1571" s="7" t="s">
        <v>55</v>
      </c>
      <c r="AP1571" s="7" t="s">
        <v>56</v>
      </c>
      <c r="AT1571" s="47" t="s">
        <v>57</v>
      </c>
      <c r="AU1571" s="47" t="s">
        <v>57</v>
      </c>
    </row>
    <row r="1572" spans="1:47">
      <c r="A1572" s="4" t="s">
        <v>48</v>
      </c>
      <c r="C1572" s="21"/>
      <c r="D1572" s="22" t="s">
        <v>49</v>
      </c>
      <c r="G1572" s="23">
        <v>45093</v>
      </c>
      <c r="H1572" s="24" t="s">
        <v>4656</v>
      </c>
      <c r="J1572" s="28" t="s">
        <v>51</v>
      </c>
      <c r="L1572" s="24" t="s">
        <v>4657</v>
      </c>
      <c r="M1572" s="1" t="str">
        <f>"132530196011280014"</f>
        <v>132530196011280014</v>
      </c>
      <c r="N1572" s="24" t="s">
        <v>4657</v>
      </c>
      <c r="O1572" s="1" t="str">
        <f>"132530196011280014"</f>
        <v>132530196011280014</v>
      </c>
      <c r="P1572" s="23" t="s">
        <v>4658</v>
      </c>
      <c r="Q1572" s="23">
        <v>45094</v>
      </c>
      <c r="R1572" s="32">
        <v>45460</v>
      </c>
      <c r="V1572" s="33">
        <v>300</v>
      </c>
      <c r="W1572" s="28">
        <v>64.29</v>
      </c>
      <c r="X1572" s="34" t="s">
        <v>54</v>
      </c>
      <c r="Y1572" s="33">
        <v>192.87</v>
      </c>
      <c r="AC1572" s="28">
        <v>64.29</v>
      </c>
      <c r="AD1572" s="34" t="s">
        <v>54</v>
      </c>
      <c r="AE1572" s="33">
        <v>192.87</v>
      </c>
      <c r="AN1572" s="7" t="s">
        <v>54</v>
      </c>
      <c r="AO1572" s="7" t="s">
        <v>55</v>
      </c>
      <c r="AP1572" s="7" t="s">
        <v>56</v>
      </c>
      <c r="AT1572" s="47" t="s">
        <v>57</v>
      </c>
      <c r="AU1572" s="47" t="s">
        <v>57</v>
      </c>
    </row>
    <row r="1573" spans="1:47">
      <c r="A1573" s="4" t="s">
        <v>48</v>
      </c>
      <c r="C1573" s="21"/>
      <c r="D1573" s="22" t="s">
        <v>49</v>
      </c>
      <c r="G1573" s="23">
        <v>45096</v>
      </c>
      <c r="H1573" s="24" t="s">
        <v>4659</v>
      </c>
      <c r="J1573" s="28" t="s">
        <v>51</v>
      </c>
      <c r="L1573" s="24" t="s">
        <v>4660</v>
      </c>
      <c r="M1573" s="1" t="str">
        <f>"341226199202032751"</f>
        <v>341226199202032751</v>
      </c>
      <c r="N1573" s="24" t="s">
        <v>4660</v>
      </c>
      <c r="O1573" s="1" t="str">
        <f>"341226199202032751"</f>
        <v>341226199202032751</v>
      </c>
      <c r="P1573" s="23" t="s">
        <v>4661</v>
      </c>
      <c r="Q1573" s="23">
        <v>45097</v>
      </c>
      <c r="R1573" s="32">
        <v>45463</v>
      </c>
      <c r="V1573" s="33">
        <v>50</v>
      </c>
      <c r="W1573" s="28">
        <v>64.29</v>
      </c>
      <c r="X1573" s="34" t="s">
        <v>54</v>
      </c>
      <c r="Y1573" s="33">
        <v>32.15</v>
      </c>
      <c r="AC1573" s="28">
        <v>64.29</v>
      </c>
      <c r="AD1573" s="34" t="s">
        <v>54</v>
      </c>
      <c r="AE1573" s="33">
        <v>32.15</v>
      </c>
      <c r="AN1573" s="7" t="s">
        <v>54</v>
      </c>
      <c r="AO1573" s="7" t="s">
        <v>55</v>
      </c>
      <c r="AP1573" s="7" t="s">
        <v>56</v>
      </c>
      <c r="AT1573" s="47" t="s">
        <v>57</v>
      </c>
      <c r="AU1573" s="47" t="s">
        <v>57</v>
      </c>
    </row>
    <row r="1574" spans="1:47">
      <c r="A1574" s="4" t="s">
        <v>48</v>
      </c>
      <c r="C1574" s="21"/>
      <c r="D1574" s="22" t="s">
        <v>49</v>
      </c>
      <c r="G1574" s="23">
        <v>45097</v>
      </c>
      <c r="H1574" s="24" t="s">
        <v>4662</v>
      </c>
      <c r="J1574" s="28" t="s">
        <v>51</v>
      </c>
      <c r="L1574" s="24" t="s">
        <v>4663</v>
      </c>
      <c r="M1574" s="1" t="str">
        <f>"342122198111185782"</f>
        <v>342122198111185782</v>
      </c>
      <c r="N1574" s="24" t="s">
        <v>4663</v>
      </c>
      <c r="O1574" s="1" t="str">
        <f>"342122198111185782"</f>
        <v>342122198111185782</v>
      </c>
      <c r="P1574" s="23" t="s">
        <v>4664</v>
      </c>
      <c r="Q1574" s="23">
        <v>45098</v>
      </c>
      <c r="R1574" s="32">
        <v>45464</v>
      </c>
      <c r="V1574" s="33">
        <v>50</v>
      </c>
      <c r="W1574" s="28">
        <v>64.29</v>
      </c>
      <c r="X1574" s="34" t="s">
        <v>54</v>
      </c>
      <c r="Y1574" s="33">
        <v>32.15</v>
      </c>
      <c r="AC1574" s="28">
        <v>64.29</v>
      </c>
      <c r="AD1574" s="34" t="s">
        <v>54</v>
      </c>
      <c r="AE1574" s="33">
        <v>32.15</v>
      </c>
      <c r="AN1574" s="7" t="s">
        <v>54</v>
      </c>
      <c r="AO1574" s="7" t="s">
        <v>55</v>
      </c>
      <c r="AP1574" s="7" t="s">
        <v>56</v>
      </c>
      <c r="AT1574" s="47" t="s">
        <v>57</v>
      </c>
      <c r="AU1574" s="47" t="s">
        <v>57</v>
      </c>
    </row>
    <row r="1575" spans="1:47">
      <c r="A1575" s="4" t="s">
        <v>48</v>
      </c>
      <c r="C1575" s="21"/>
      <c r="D1575" s="22" t="s">
        <v>49</v>
      </c>
      <c r="G1575" s="23">
        <v>45094</v>
      </c>
      <c r="H1575" s="24" t="s">
        <v>4665</v>
      </c>
      <c r="J1575" s="28" t="s">
        <v>51</v>
      </c>
      <c r="L1575" s="24" t="s">
        <v>4666</v>
      </c>
      <c r="M1575" s="1" t="str">
        <f>"342123197703259062"</f>
        <v>342123197703259062</v>
      </c>
      <c r="N1575" s="24" t="s">
        <v>4666</v>
      </c>
      <c r="O1575" s="1" t="str">
        <f>"342123197703259062"</f>
        <v>342123197703259062</v>
      </c>
      <c r="P1575" s="23" t="s">
        <v>4667</v>
      </c>
      <c r="Q1575" s="23">
        <v>45095</v>
      </c>
      <c r="R1575" s="32">
        <v>45461</v>
      </c>
      <c r="V1575" s="33">
        <v>50</v>
      </c>
      <c r="W1575" s="28">
        <v>64.29</v>
      </c>
      <c r="X1575" s="34" t="s">
        <v>54</v>
      </c>
      <c r="Y1575" s="33">
        <v>32.15</v>
      </c>
      <c r="AC1575" s="28">
        <v>64.29</v>
      </c>
      <c r="AD1575" s="34" t="s">
        <v>54</v>
      </c>
      <c r="AE1575" s="33">
        <v>32.15</v>
      </c>
      <c r="AN1575" s="7" t="s">
        <v>54</v>
      </c>
      <c r="AO1575" s="7" t="s">
        <v>55</v>
      </c>
      <c r="AP1575" s="7" t="s">
        <v>56</v>
      </c>
      <c r="AT1575" s="47" t="s">
        <v>57</v>
      </c>
      <c r="AU1575" s="47" t="s">
        <v>57</v>
      </c>
    </row>
    <row r="1576" spans="1:47">
      <c r="A1576" s="4" t="s">
        <v>48</v>
      </c>
      <c r="C1576" s="21"/>
      <c r="D1576" s="22" t="s">
        <v>49</v>
      </c>
      <c r="G1576" s="23">
        <v>45095</v>
      </c>
      <c r="H1576" s="24" t="s">
        <v>4668</v>
      </c>
      <c r="J1576" s="28" t="s">
        <v>51</v>
      </c>
      <c r="L1576" s="24" t="s">
        <v>4669</v>
      </c>
      <c r="M1576" s="1" t="str">
        <f>"132821195704260513"</f>
        <v>132821195704260513</v>
      </c>
      <c r="N1576" s="24" t="s">
        <v>4669</v>
      </c>
      <c r="O1576" s="1" t="str">
        <f>"132821195704260513"</f>
        <v>132821195704260513</v>
      </c>
      <c r="P1576" s="23" t="s">
        <v>4670</v>
      </c>
      <c r="Q1576" s="23">
        <v>45096</v>
      </c>
      <c r="R1576" s="32">
        <v>45462</v>
      </c>
      <c r="V1576" s="33">
        <v>50</v>
      </c>
      <c r="W1576" s="28">
        <v>64.29</v>
      </c>
      <c r="X1576" s="34" t="s">
        <v>54</v>
      </c>
      <c r="Y1576" s="33">
        <v>32.15</v>
      </c>
      <c r="AC1576" s="28">
        <v>64.29</v>
      </c>
      <c r="AD1576" s="34" t="s">
        <v>54</v>
      </c>
      <c r="AE1576" s="33">
        <v>32.15</v>
      </c>
      <c r="AN1576" s="7" t="s">
        <v>54</v>
      </c>
      <c r="AO1576" s="7" t="s">
        <v>55</v>
      </c>
      <c r="AP1576" s="7" t="s">
        <v>56</v>
      </c>
      <c r="AT1576" s="47" t="s">
        <v>57</v>
      </c>
      <c r="AU1576" s="47" t="s">
        <v>57</v>
      </c>
    </row>
    <row r="1577" spans="1:47">
      <c r="A1577" s="4" t="s">
        <v>48</v>
      </c>
      <c r="C1577" s="21"/>
      <c r="D1577" s="22" t="s">
        <v>49</v>
      </c>
      <c r="G1577" s="23">
        <v>45102</v>
      </c>
      <c r="H1577" s="24" t="s">
        <v>4671</v>
      </c>
      <c r="J1577" s="28" t="s">
        <v>51</v>
      </c>
      <c r="L1577" s="24" t="s">
        <v>4672</v>
      </c>
      <c r="M1577" s="1" t="str">
        <f>"132821196501208277"</f>
        <v>132821196501208277</v>
      </c>
      <c r="N1577" s="24" t="s">
        <v>4672</v>
      </c>
      <c r="O1577" s="1" t="str">
        <f>"132821196501208277"</f>
        <v>132821196501208277</v>
      </c>
      <c r="P1577" s="23" t="s">
        <v>4673</v>
      </c>
      <c r="Q1577" s="23">
        <v>45103</v>
      </c>
      <c r="R1577" s="32">
        <v>45469</v>
      </c>
      <c r="V1577" s="33">
        <v>100</v>
      </c>
      <c r="W1577" s="28">
        <v>64.29</v>
      </c>
      <c r="X1577" s="34" t="s">
        <v>54</v>
      </c>
      <c r="Y1577" s="33">
        <v>64.29</v>
      </c>
      <c r="AC1577" s="28">
        <v>64.29</v>
      </c>
      <c r="AD1577" s="34" t="s">
        <v>54</v>
      </c>
      <c r="AE1577" s="33">
        <v>64.29</v>
      </c>
      <c r="AN1577" s="7" t="s">
        <v>54</v>
      </c>
      <c r="AO1577" s="7" t="s">
        <v>55</v>
      </c>
      <c r="AP1577" s="7" t="s">
        <v>56</v>
      </c>
      <c r="AT1577" s="47" t="s">
        <v>57</v>
      </c>
      <c r="AU1577" s="47" t="s">
        <v>57</v>
      </c>
    </row>
    <row r="1578" spans="1:47">
      <c r="A1578" s="4" t="s">
        <v>48</v>
      </c>
      <c r="C1578" s="21"/>
      <c r="D1578" s="22" t="s">
        <v>49</v>
      </c>
      <c r="G1578" s="23">
        <v>45102</v>
      </c>
      <c r="H1578" s="24" t="s">
        <v>4674</v>
      </c>
      <c r="J1578" s="28" t="s">
        <v>51</v>
      </c>
      <c r="L1578" s="24" t="s">
        <v>4675</v>
      </c>
      <c r="M1578" s="1" t="str">
        <f>"341221198410015319"</f>
        <v>341221198410015319</v>
      </c>
      <c r="N1578" s="24" t="s">
        <v>4675</v>
      </c>
      <c r="O1578" s="1" t="str">
        <f>"341221198410015319"</f>
        <v>341221198410015319</v>
      </c>
      <c r="P1578" s="23" t="s">
        <v>4676</v>
      </c>
      <c r="Q1578" s="23">
        <v>45291</v>
      </c>
      <c r="R1578" s="32">
        <v>45657</v>
      </c>
      <c r="V1578" s="33">
        <v>100</v>
      </c>
      <c r="W1578" s="28">
        <v>64.29</v>
      </c>
      <c r="X1578" s="34" t="s">
        <v>54</v>
      </c>
      <c r="Y1578" s="33">
        <v>64.29</v>
      </c>
      <c r="AC1578" s="28">
        <v>64.29</v>
      </c>
      <c r="AD1578" s="34" t="s">
        <v>54</v>
      </c>
      <c r="AE1578" s="33">
        <v>64.29</v>
      </c>
      <c r="AN1578" s="7" t="s">
        <v>54</v>
      </c>
      <c r="AO1578" s="7" t="s">
        <v>55</v>
      </c>
      <c r="AP1578" s="7" t="s">
        <v>56</v>
      </c>
      <c r="AT1578" s="47" t="s">
        <v>57</v>
      </c>
      <c r="AU1578" s="47" t="s">
        <v>57</v>
      </c>
    </row>
    <row r="1579" spans="1:47">
      <c r="A1579" s="4" t="s">
        <v>48</v>
      </c>
      <c r="C1579" s="21"/>
      <c r="D1579" s="22" t="s">
        <v>49</v>
      </c>
      <c r="G1579" s="23">
        <v>45089</v>
      </c>
      <c r="H1579" s="24" t="s">
        <v>4677</v>
      </c>
      <c r="J1579" s="28" t="s">
        <v>51</v>
      </c>
      <c r="L1579" s="24" t="s">
        <v>4678</v>
      </c>
      <c r="M1579" s="1" t="str">
        <f>"132821196501198275"</f>
        <v>132821196501198275</v>
      </c>
      <c r="N1579" s="24" t="s">
        <v>4678</v>
      </c>
      <c r="O1579" s="1" t="str">
        <f>"132821196501198275"</f>
        <v>132821196501198275</v>
      </c>
      <c r="P1579" s="23" t="s">
        <v>4679</v>
      </c>
      <c r="Q1579" s="23">
        <v>45212</v>
      </c>
      <c r="R1579" s="32">
        <v>45578</v>
      </c>
      <c r="V1579" s="33">
        <v>100</v>
      </c>
      <c r="W1579" s="28">
        <v>64.29</v>
      </c>
      <c r="X1579" s="34" t="s">
        <v>54</v>
      </c>
      <c r="Y1579" s="33">
        <v>64.29</v>
      </c>
      <c r="AC1579" s="28">
        <v>64.29</v>
      </c>
      <c r="AD1579" s="34" t="s">
        <v>54</v>
      </c>
      <c r="AE1579" s="33">
        <v>64.29</v>
      </c>
      <c r="AN1579" s="7" t="s">
        <v>54</v>
      </c>
      <c r="AO1579" s="7" t="s">
        <v>55</v>
      </c>
      <c r="AP1579" s="7" t="s">
        <v>56</v>
      </c>
      <c r="AT1579" s="47" t="s">
        <v>57</v>
      </c>
      <c r="AU1579" s="47" t="s">
        <v>57</v>
      </c>
    </row>
    <row r="1580" spans="1:47">
      <c r="A1580" s="4" t="s">
        <v>48</v>
      </c>
      <c r="C1580" s="21"/>
      <c r="D1580" s="22" t="s">
        <v>49</v>
      </c>
      <c r="G1580" s="23">
        <v>45088</v>
      </c>
      <c r="H1580" s="24" t="s">
        <v>4680</v>
      </c>
      <c r="J1580" s="28" t="s">
        <v>51</v>
      </c>
      <c r="L1580" s="24" t="s">
        <v>4681</v>
      </c>
      <c r="M1580" s="1" t="str">
        <f>"342122197112101937"</f>
        <v>342122197112101937</v>
      </c>
      <c r="N1580" s="24" t="s">
        <v>4681</v>
      </c>
      <c r="O1580" s="1" t="str">
        <f>"342122197112101937"</f>
        <v>342122197112101937</v>
      </c>
      <c r="P1580" s="23" t="s">
        <v>4682</v>
      </c>
      <c r="Q1580" s="23">
        <v>45089</v>
      </c>
      <c r="R1580" s="32">
        <v>45455</v>
      </c>
      <c r="V1580" s="33">
        <v>100</v>
      </c>
      <c r="W1580" s="28">
        <v>64.29</v>
      </c>
      <c r="X1580" s="34" t="s">
        <v>54</v>
      </c>
      <c r="Y1580" s="33">
        <v>64.29</v>
      </c>
      <c r="AC1580" s="28">
        <v>64.29</v>
      </c>
      <c r="AD1580" s="34" t="s">
        <v>54</v>
      </c>
      <c r="AE1580" s="33">
        <v>64.29</v>
      </c>
      <c r="AN1580" s="7" t="s">
        <v>54</v>
      </c>
      <c r="AO1580" s="7" t="s">
        <v>55</v>
      </c>
      <c r="AP1580" s="7" t="s">
        <v>56</v>
      </c>
      <c r="AT1580" s="47" t="s">
        <v>57</v>
      </c>
      <c r="AU1580" s="47" t="s">
        <v>57</v>
      </c>
    </row>
    <row r="1581" spans="1:47">
      <c r="A1581" s="4" t="s">
        <v>48</v>
      </c>
      <c r="C1581" s="21"/>
      <c r="D1581" s="22" t="s">
        <v>49</v>
      </c>
      <c r="G1581" s="23">
        <v>45090</v>
      </c>
      <c r="H1581" s="24" t="s">
        <v>4683</v>
      </c>
      <c r="J1581" s="28" t="s">
        <v>51</v>
      </c>
      <c r="L1581" s="24" t="s">
        <v>4684</v>
      </c>
      <c r="M1581" s="1" t="str">
        <f>"132821195210190535"</f>
        <v>132821195210190535</v>
      </c>
      <c r="N1581" s="24" t="s">
        <v>4684</v>
      </c>
      <c r="O1581" s="1" t="str">
        <f>"132821195210190535"</f>
        <v>132821195210190535</v>
      </c>
      <c r="P1581" s="23" t="s">
        <v>4685</v>
      </c>
      <c r="Q1581" s="23">
        <v>45091</v>
      </c>
      <c r="R1581" s="32">
        <v>45457</v>
      </c>
      <c r="V1581" s="33">
        <v>100</v>
      </c>
      <c r="W1581" s="28">
        <v>64.29</v>
      </c>
      <c r="X1581" s="34" t="s">
        <v>54</v>
      </c>
      <c r="Y1581" s="33">
        <v>64.29</v>
      </c>
      <c r="AC1581" s="28">
        <v>64.29</v>
      </c>
      <c r="AD1581" s="34" t="s">
        <v>54</v>
      </c>
      <c r="AE1581" s="33">
        <v>64.29</v>
      </c>
      <c r="AN1581" s="7" t="s">
        <v>54</v>
      </c>
      <c r="AO1581" s="7" t="s">
        <v>55</v>
      </c>
      <c r="AP1581" s="7" t="s">
        <v>56</v>
      </c>
      <c r="AT1581" s="47" t="s">
        <v>57</v>
      </c>
      <c r="AU1581" s="47" t="s">
        <v>57</v>
      </c>
    </row>
    <row r="1582" spans="1:47">
      <c r="A1582" s="4" t="s">
        <v>48</v>
      </c>
      <c r="C1582" s="21"/>
      <c r="D1582" s="22" t="s">
        <v>49</v>
      </c>
      <c r="G1582" s="23">
        <v>45079</v>
      </c>
      <c r="H1582" s="24" t="s">
        <v>4686</v>
      </c>
      <c r="J1582" s="28" t="s">
        <v>51</v>
      </c>
      <c r="L1582" s="24" t="s">
        <v>4687</v>
      </c>
      <c r="M1582" s="1" t="str">
        <f>"131082198102205586"</f>
        <v>131082198102205586</v>
      </c>
      <c r="N1582" s="24" t="s">
        <v>4687</v>
      </c>
      <c r="O1582" s="1" t="str">
        <f>"131082198102205586"</f>
        <v>131082198102205586</v>
      </c>
      <c r="P1582" s="23" t="s">
        <v>4688</v>
      </c>
      <c r="Q1582" s="23">
        <v>45214</v>
      </c>
      <c r="R1582" s="32">
        <v>45580</v>
      </c>
      <c r="V1582" s="33">
        <v>100</v>
      </c>
      <c r="W1582" s="28">
        <v>64.29</v>
      </c>
      <c r="X1582" s="34" t="s">
        <v>54</v>
      </c>
      <c r="Y1582" s="33">
        <v>64.29</v>
      </c>
      <c r="AC1582" s="28">
        <v>64.29</v>
      </c>
      <c r="AD1582" s="34" t="s">
        <v>54</v>
      </c>
      <c r="AE1582" s="33">
        <v>64.29</v>
      </c>
      <c r="AN1582" s="7" t="s">
        <v>54</v>
      </c>
      <c r="AO1582" s="7" t="s">
        <v>55</v>
      </c>
      <c r="AP1582" s="7" t="s">
        <v>56</v>
      </c>
      <c r="AT1582" s="47" t="s">
        <v>57</v>
      </c>
      <c r="AU1582" s="47" t="s">
        <v>57</v>
      </c>
    </row>
    <row r="1583" spans="1:47">
      <c r="A1583" s="4" t="s">
        <v>48</v>
      </c>
      <c r="C1583" s="21"/>
      <c r="D1583" s="22" t="s">
        <v>49</v>
      </c>
      <c r="G1583" s="23">
        <v>45077</v>
      </c>
      <c r="H1583" s="24" t="s">
        <v>4689</v>
      </c>
      <c r="J1583" s="28" t="s">
        <v>51</v>
      </c>
      <c r="L1583" s="24" t="s">
        <v>4690</v>
      </c>
      <c r="M1583" s="1" t="str">
        <f>"132821195711248280"</f>
        <v>132821195711248280</v>
      </c>
      <c r="N1583" s="24" t="s">
        <v>4690</v>
      </c>
      <c r="O1583" s="1" t="str">
        <f>"132821195711248280"</f>
        <v>132821195711248280</v>
      </c>
      <c r="P1583" s="23" t="s">
        <v>4691</v>
      </c>
      <c r="Q1583" s="23">
        <v>45078</v>
      </c>
      <c r="R1583" s="32">
        <v>45444</v>
      </c>
      <c r="V1583" s="33">
        <v>100</v>
      </c>
      <c r="W1583" s="28">
        <v>64.29</v>
      </c>
      <c r="X1583" s="34" t="s">
        <v>54</v>
      </c>
      <c r="Y1583" s="33">
        <v>64.29</v>
      </c>
      <c r="AC1583" s="28">
        <v>64.29</v>
      </c>
      <c r="AD1583" s="34" t="s">
        <v>54</v>
      </c>
      <c r="AE1583" s="33">
        <v>64.29</v>
      </c>
      <c r="AN1583" s="7" t="s">
        <v>54</v>
      </c>
      <c r="AO1583" s="7" t="s">
        <v>55</v>
      </c>
      <c r="AP1583" s="7" t="s">
        <v>56</v>
      </c>
      <c r="AT1583" s="47" t="s">
        <v>57</v>
      </c>
      <c r="AU1583" s="47" t="s">
        <v>57</v>
      </c>
    </row>
    <row r="1584" spans="1:47">
      <c r="A1584" s="4" t="s">
        <v>48</v>
      </c>
      <c r="C1584" s="21"/>
      <c r="D1584" s="22" t="s">
        <v>49</v>
      </c>
      <c r="G1584" s="23">
        <v>45091</v>
      </c>
      <c r="H1584" s="24" t="s">
        <v>4692</v>
      </c>
      <c r="J1584" s="28" t="s">
        <v>51</v>
      </c>
      <c r="L1584" s="24" t="s">
        <v>4693</v>
      </c>
      <c r="M1584" s="1" t="str">
        <f>"330382199305020941"</f>
        <v>330382199305020941</v>
      </c>
      <c r="N1584" s="24" t="s">
        <v>4693</v>
      </c>
      <c r="O1584" s="1" t="str">
        <f>"330382199305020941"</f>
        <v>330382199305020941</v>
      </c>
      <c r="P1584" s="23" t="s">
        <v>4694</v>
      </c>
      <c r="Q1584" s="23">
        <v>45092</v>
      </c>
      <c r="R1584" s="32">
        <v>45458</v>
      </c>
      <c r="V1584" s="33">
        <v>300</v>
      </c>
      <c r="W1584" s="28">
        <v>64.29</v>
      </c>
      <c r="X1584" s="34" t="s">
        <v>54</v>
      </c>
      <c r="Y1584" s="33">
        <v>192.87</v>
      </c>
      <c r="AC1584" s="28">
        <v>64.29</v>
      </c>
      <c r="AD1584" s="34" t="s">
        <v>54</v>
      </c>
      <c r="AE1584" s="33">
        <v>192.87</v>
      </c>
      <c r="AN1584" s="7" t="s">
        <v>54</v>
      </c>
      <c r="AO1584" s="7" t="s">
        <v>55</v>
      </c>
      <c r="AP1584" s="7" t="s">
        <v>56</v>
      </c>
      <c r="AT1584" s="47" t="s">
        <v>57</v>
      </c>
      <c r="AU1584" s="47" t="s">
        <v>57</v>
      </c>
    </row>
    <row r="1585" spans="1:47">
      <c r="A1585" s="4" t="s">
        <v>48</v>
      </c>
      <c r="C1585" s="21"/>
      <c r="D1585" s="22" t="s">
        <v>49</v>
      </c>
      <c r="G1585" s="23">
        <v>45092</v>
      </c>
      <c r="H1585" s="24" t="s">
        <v>4695</v>
      </c>
      <c r="J1585" s="28" t="s">
        <v>51</v>
      </c>
      <c r="L1585" s="24" t="s">
        <v>4696</v>
      </c>
      <c r="M1585" s="1" t="str">
        <f>"132801195110154638"</f>
        <v>132801195110154638</v>
      </c>
      <c r="N1585" s="24" t="s">
        <v>4696</v>
      </c>
      <c r="O1585" s="1" t="str">
        <f>"132801195110154638"</f>
        <v>132801195110154638</v>
      </c>
      <c r="P1585" s="23" t="s">
        <v>4697</v>
      </c>
      <c r="Q1585" s="23">
        <v>45107</v>
      </c>
      <c r="R1585" s="32">
        <v>45473</v>
      </c>
      <c r="V1585" s="33">
        <v>300</v>
      </c>
      <c r="W1585" s="28">
        <v>64.29</v>
      </c>
      <c r="X1585" s="34" t="s">
        <v>54</v>
      </c>
      <c r="Y1585" s="33">
        <v>192.87</v>
      </c>
      <c r="AC1585" s="28">
        <v>64.29</v>
      </c>
      <c r="AD1585" s="34" t="s">
        <v>54</v>
      </c>
      <c r="AE1585" s="33">
        <v>192.87</v>
      </c>
      <c r="AN1585" s="7" t="s">
        <v>54</v>
      </c>
      <c r="AO1585" s="7" t="s">
        <v>55</v>
      </c>
      <c r="AP1585" s="7" t="s">
        <v>56</v>
      </c>
      <c r="AT1585" s="47" t="s">
        <v>57</v>
      </c>
      <c r="AU1585" s="47" t="s">
        <v>57</v>
      </c>
    </row>
    <row r="1586" spans="1:47">
      <c r="A1586" s="4" t="s">
        <v>48</v>
      </c>
      <c r="C1586" s="21"/>
      <c r="D1586" s="22" t="s">
        <v>49</v>
      </c>
      <c r="G1586" s="23">
        <v>45089</v>
      </c>
      <c r="H1586" s="24" t="s">
        <v>4698</v>
      </c>
      <c r="J1586" s="28" t="s">
        <v>51</v>
      </c>
      <c r="L1586" s="24" t="s">
        <v>4699</v>
      </c>
      <c r="M1586" s="1" t="str">
        <f>"152527199308133938"</f>
        <v>152527199308133938</v>
      </c>
      <c r="N1586" s="24" t="s">
        <v>4699</v>
      </c>
      <c r="O1586" s="1" t="str">
        <f>"152527199308133938"</f>
        <v>152527199308133938</v>
      </c>
      <c r="P1586" s="23" t="s">
        <v>4700</v>
      </c>
      <c r="Q1586" s="23">
        <v>45090</v>
      </c>
      <c r="R1586" s="32">
        <v>45456</v>
      </c>
      <c r="V1586" s="33">
        <v>300</v>
      </c>
      <c r="W1586" s="28">
        <v>64.29</v>
      </c>
      <c r="X1586" s="34" t="s">
        <v>54</v>
      </c>
      <c r="Y1586" s="33">
        <v>192.87</v>
      </c>
      <c r="AC1586" s="28">
        <v>64.29</v>
      </c>
      <c r="AD1586" s="34" t="s">
        <v>54</v>
      </c>
      <c r="AE1586" s="33">
        <v>192.87</v>
      </c>
      <c r="AN1586" s="7" t="s">
        <v>54</v>
      </c>
      <c r="AO1586" s="7" t="s">
        <v>55</v>
      </c>
      <c r="AP1586" s="7" t="s">
        <v>56</v>
      </c>
      <c r="AT1586" s="47" t="s">
        <v>57</v>
      </c>
      <c r="AU1586" s="47" t="s">
        <v>57</v>
      </c>
    </row>
    <row r="1587" spans="1:47">
      <c r="A1587" s="4" t="s">
        <v>48</v>
      </c>
      <c r="C1587" s="21"/>
      <c r="D1587" s="22" t="s">
        <v>49</v>
      </c>
      <c r="G1587" s="23">
        <v>45095</v>
      </c>
      <c r="H1587" s="24" t="s">
        <v>4701</v>
      </c>
      <c r="J1587" s="28" t="s">
        <v>51</v>
      </c>
      <c r="L1587" s="24" t="s">
        <v>4702</v>
      </c>
      <c r="M1587" s="1" t="str">
        <f>"23018319860528062X"</f>
        <v>23018319860528062X</v>
      </c>
      <c r="N1587" s="24" t="s">
        <v>4702</v>
      </c>
      <c r="O1587" s="1" t="str">
        <f>"23018319860528062X"</f>
        <v>23018319860528062X</v>
      </c>
      <c r="P1587" s="23" t="s">
        <v>4703</v>
      </c>
      <c r="Q1587" s="23">
        <v>45096</v>
      </c>
      <c r="R1587" s="32">
        <v>45462</v>
      </c>
      <c r="V1587" s="33">
        <v>50</v>
      </c>
      <c r="W1587" s="28">
        <v>64.29</v>
      </c>
      <c r="X1587" s="34" t="s">
        <v>54</v>
      </c>
      <c r="Y1587" s="33">
        <v>32.15</v>
      </c>
      <c r="AC1587" s="28">
        <v>64.29</v>
      </c>
      <c r="AD1587" s="34" t="s">
        <v>54</v>
      </c>
      <c r="AE1587" s="33">
        <v>32.15</v>
      </c>
      <c r="AN1587" s="7" t="s">
        <v>54</v>
      </c>
      <c r="AO1587" s="7" t="s">
        <v>55</v>
      </c>
      <c r="AP1587" s="7" t="s">
        <v>56</v>
      </c>
      <c r="AT1587" s="47" t="s">
        <v>57</v>
      </c>
      <c r="AU1587" s="47" t="s">
        <v>57</v>
      </c>
    </row>
    <row r="1588" spans="1:47">
      <c r="A1588" s="4" t="s">
        <v>48</v>
      </c>
      <c r="C1588" s="21"/>
      <c r="D1588" s="22" t="s">
        <v>49</v>
      </c>
      <c r="G1588" s="23">
        <v>45093</v>
      </c>
      <c r="H1588" s="24" t="s">
        <v>4704</v>
      </c>
      <c r="J1588" s="28" t="s">
        <v>51</v>
      </c>
      <c r="L1588" s="24" t="s">
        <v>4705</v>
      </c>
      <c r="M1588" s="1" t="str">
        <f>"131082199609021019"</f>
        <v>131082199609021019</v>
      </c>
      <c r="N1588" s="24" t="s">
        <v>4705</v>
      </c>
      <c r="O1588" s="1" t="str">
        <f>"131082199609021019"</f>
        <v>131082199609021019</v>
      </c>
      <c r="P1588" s="23" t="s">
        <v>4706</v>
      </c>
      <c r="Q1588" s="23">
        <v>45094</v>
      </c>
      <c r="R1588" s="32">
        <v>45460</v>
      </c>
      <c r="V1588" s="33">
        <v>50</v>
      </c>
      <c r="W1588" s="28">
        <v>64.29</v>
      </c>
      <c r="X1588" s="34" t="s">
        <v>54</v>
      </c>
      <c r="Y1588" s="33">
        <v>32.15</v>
      </c>
      <c r="AC1588" s="28">
        <v>64.29</v>
      </c>
      <c r="AD1588" s="34" t="s">
        <v>54</v>
      </c>
      <c r="AE1588" s="33">
        <v>32.15</v>
      </c>
      <c r="AN1588" s="7" t="s">
        <v>54</v>
      </c>
      <c r="AO1588" s="7" t="s">
        <v>55</v>
      </c>
      <c r="AP1588" s="7" t="s">
        <v>56</v>
      </c>
      <c r="AT1588" s="47" t="s">
        <v>57</v>
      </c>
      <c r="AU1588" s="47" t="s">
        <v>57</v>
      </c>
    </row>
    <row r="1589" spans="1:47">
      <c r="A1589" s="4" t="s">
        <v>48</v>
      </c>
      <c r="C1589" s="21"/>
      <c r="D1589" s="22" t="s">
        <v>49</v>
      </c>
      <c r="G1589" s="23">
        <v>45094</v>
      </c>
      <c r="H1589" s="24" t="s">
        <v>4707</v>
      </c>
      <c r="J1589" s="28" t="s">
        <v>51</v>
      </c>
      <c r="L1589" s="24" t="s">
        <v>4708</v>
      </c>
      <c r="M1589" s="1" t="str">
        <f>"36010219700616384X"</f>
        <v>36010219700616384X</v>
      </c>
      <c r="N1589" s="24" t="s">
        <v>4708</v>
      </c>
      <c r="O1589" s="1" t="str">
        <f>"36010219700616384X"</f>
        <v>36010219700616384X</v>
      </c>
      <c r="P1589" s="23" t="s">
        <v>4709</v>
      </c>
      <c r="Q1589" s="23">
        <v>45095</v>
      </c>
      <c r="R1589" s="32">
        <v>45461</v>
      </c>
      <c r="V1589" s="33">
        <v>50</v>
      </c>
      <c r="W1589" s="28">
        <v>64.29</v>
      </c>
      <c r="X1589" s="34" t="s">
        <v>54</v>
      </c>
      <c r="Y1589" s="33">
        <v>32.15</v>
      </c>
      <c r="AC1589" s="28">
        <v>64.29</v>
      </c>
      <c r="AD1589" s="34" t="s">
        <v>54</v>
      </c>
      <c r="AE1589" s="33">
        <v>32.15</v>
      </c>
      <c r="AN1589" s="7" t="s">
        <v>54</v>
      </c>
      <c r="AO1589" s="7" t="s">
        <v>55</v>
      </c>
      <c r="AP1589" s="7" t="s">
        <v>56</v>
      </c>
      <c r="AT1589" s="47" t="s">
        <v>57</v>
      </c>
      <c r="AU1589" s="47" t="s">
        <v>57</v>
      </c>
    </row>
    <row r="1590" spans="1:47">
      <c r="A1590" s="4" t="s">
        <v>48</v>
      </c>
      <c r="C1590" s="21"/>
      <c r="D1590" s="22" t="s">
        <v>49</v>
      </c>
      <c r="G1590" s="23">
        <v>45102</v>
      </c>
      <c r="H1590" s="24" t="s">
        <v>4710</v>
      </c>
      <c r="J1590" s="28" t="s">
        <v>51</v>
      </c>
      <c r="L1590" s="24" t="s">
        <v>4711</v>
      </c>
      <c r="M1590" s="1" t="str">
        <f>"132924196004028499"</f>
        <v>132924196004028499</v>
      </c>
      <c r="N1590" s="24" t="s">
        <v>4711</v>
      </c>
      <c r="O1590" s="1" t="str">
        <f>"132924196004028499"</f>
        <v>132924196004028499</v>
      </c>
      <c r="P1590" s="23" t="s">
        <v>4712</v>
      </c>
      <c r="Q1590" s="23">
        <v>45103</v>
      </c>
      <c r="R1590" s="32">
        <v>45469</v>
      </c>
      <c r="V1590" s="33">
        <v>100</v>
      </c>
      <c r="W1590" s="28">
        <v>64.29</v>
      </c>
      <c r="X1590" s="34" t="s">
        <v>54</v>
      </c>
      <c r="Y1590" s="33">
        <v>64.29</v>
      </c>
      <c r="AC1590" s="28">
        <v>64.29</v>
      </c>
      <c r="AD1590" s="34" t="s">
        <v>54</v>
      </c>
      <c r="AE1590" s="33">
        <v>64.29</v>
      </c>
      <c r="AN1590" s="7" t="s">
        <v>54</v>
      </c>
      <c r="AO1590" s="7" t="s">
        <v>55</v>
      </c>
      <c r="AP1590" s="7" t="s">
        <v>56</v>
      </c>
      <c r="AT1590" s="47" t="s">
        <v>57</v>
      </c>
      <c r="AU1590" s="47" t="s">
        <v>57</v>
      </c>
    </row>
    <row r="1591" spans="1:47">
      <c r="A1591" s="4" t="s">
        <v>48</v>
      </c>
      <c r="C1591" s="21"/>
      <c r="D1591" s="22" t="s">
        <v>49</v>
      </c>
      <c r="G1591" s="23">
        <v>45098</v>
      </c>
      <c r="H1591" s="24" t="s">
        <v>4713</v>
      </c>
      <c r="J1591" s="28" t="s">
        <v>51</v>
      </c>
      <c r="L1591" s="24" t="s">
        <v>4714</v>
      </c>
      <c r="M1591" s="1" t="str">
        <f>"341202196207011998"</f>
        <v>341202196207011998</v>
      </c>
      <c r="N1591" s="24" t="s">
        <v>4714</v>
      </c>
      <c r="O1591" s="1" t="str">
        <f>"341202196207011998"</f>
        <v>341202196207011998</v>
      </c>
      <c r="P1591" s="23" t="s">
        <v>4715</v>
      </c>
      <c r="Q1591" s="23">
        <v>45099</v>
      </c>
      <c r="R1591" s="32">
        <v>45465</v>
      </c>
      <c r="V1591" s="33">
        <v>100</v>
      </c>
      <c r="W1591" s="28">
        <v>64.29</v>
      </c>
      <c r="X1591" s="34" t="s">
        <v>54</v>
      </c>
      <c r="Y1591" s="33">
        <v>64.29</v>
      </c>
      <c r="AC1591" s="28">
        <v>64.29</v>
      </c>
      <c r="AD1591" s="34" t="s">
        <v>54</v>
      </c>
      <c r="AE1591" s="33">
        <v>64.29</v>
      </c>
      <c r="AN1591" s="7" t="s">
        <v>54</v>
      </c>
      <c r="AO1591" s="7" t="s">
        <v>55</v>
      </c>
      <c r="AP1591" s="7" t="s">
        <v>56</v>
      </c>
      <c r="AT1591" s="47" t="s">
        <v>57</v>
      </c>
      <c r="AU1591" s="47" t="s">
        <v>57</v>
      </c>
    </row>
    <row r="1592" spans="1:47">
      <c r="A1592" s="4" t="s">
        <v>48</v>
      </c>
      <c r="C1592" s="21"/>
      <c r="D1592" s="22" t="s">
        <v>49</v>
      </c>
      <c r="G1592" s="23">
        <v>45100</v>
      </c>
      <c r="H1592" s="24" t="s">
        <v>4716</v>
      </c>
      <c r="J1592" s="28" t="s">
        <v>51</v>
      </c>
      <c r="L1592" s="24" t="s">
        <v>4717</v>
      </c>
      <c r="M1592" s="1" t="str">
        <f>"342101198001293027"</f>
        <v>342101198001293027</v>
      </c>
      <c r="N1592" s="24" t="s">
        <v>4717</v>
      </c>
      <c r="O1592" s="1" t="str">
        <f>"342101198001293027"</f>
        <v>342101198001293027</v>
      </c>
      <c r="P1592" s="23" t="s">
        <v>4718</v>
      </c>
      <c r="Q1592" s="23">
        <v>45101</v>
      </c>
      <c r="R1592" s="32">
        <v>45467</v>
      </c>
      <c r="V1592" s="33">
        <v>100</v>
      </c>
      <c r="W1592" s="28">
        <v>64.29</v>
      </c>
      <c r="X1592" s="34" t="s">
        <v>54</v>
      </c>
      <c r="Y1592" s="33">
        <v>64.29</v>
      </c>
      <c r="AC1592" s="28">
        <v>64.29</v>
      </c>
      <c r="AD1592" s="34" t="s">
        <v>54</v>
      </c>
      <c r="AE1592" s="33">
        <v>64.29</v>
      </c>
      <c r="AN1592" s="7" t="s">
        <v>54</v>
      </c>
      <c r="AO1592" s="7" t="s">
        <v>55</v>
      </c>
      <c r="AP1592" s="7" t="s">
        <v>56</v>
      </c>
      <c r="AT1592" s="47" t="s">
        <v>57</v>
      </c>
      <c r="AU1592" s="47" t="s">
        <v>57</v>
      </c>
    </row>
    <row r="1593" spans="1:47">
      <c r="A1593" s="4" t="s">
        <v>48</v>
      </c>
      <c r="C1593" s="21"/>
      <c r="D1593" s="22" t="s">
        <v>49</v>
      </c>
      <c r="G1593" s="23">
        <v>45089</v>
      </c>
      <c r="H1593" s="24" t="s">
        <v>4719</v>
      </c>
      <c r="J1593" s="28" t="s">
        <v>51</v>
      </c>
      <c r="L1593" s="24" t="s">
        <v>4720</v>
      </c>
      <c r="M1593" s="1" t="str">
        <f>"341226199502200112"</f>
        <v>341226199502200112</v>
      </c>
      <c r="N1593" s="24" t="s">
        <v>4720</v>
      </c>
      <c r="O1593" s="1" t="str">
        <f>"341226199502200112"</f>
        <v>341226199502200112</v>
      </c>
      <c r="P1593" s="23" t="s">
        <v>4721</v>
      </c>
      <c r="Q1593" s="23">
        <v>45090</v>
      </c>
      <c r="R1593" s="32">
        <v>45456</v>
      </c>
      <c r="V1593" s="33">
        <v>100</v>
      </c>
      <c r="W1593" s="28">
        <v>64.29</v>
      </c>
      <c r="X1593" s="34" t="s">
        <v>54</v>
      </c>
      <c r="Y1593" s="33">
        <v>64.29</v>
      </c>
      <c r="AC1593" s="28">
        <v>64.29</v>
      </c>
      <c r="AD1593" s="34" t="s">
        <v>54</v>
      </c>
      <c r="AE1593" s="33">
        <v>64.29</v>
      </c>
      <c r="AN1593" s="7" t="s">
        <v>54</v>
      </c>
      <c r="AO1593" s="7" t="s">
        <v>55</v>
      </c>
      <c r="AP1593" s="7" t="s">
        <v>56</v>
      </c>
      <c r="AT1593" s="47" t="s">
        <v>57</v>
      </c>
      <c r="AU1593" s="47" t="s">
        <v>57</v>
      </c>
    </row>
    <row r="1594" spans="1:47">
      <c r="A1594" s="4" t="s">
        <v>48</v>
      </c>
      <c r="C1594" s="21"/>
      <c r="D1594" s="22" t="s">
        <v>49</v>
      </c>
      <c r="G1594" s="23">
        <v>45090</v>
      </c>
      <c r="H1594" s="24" t="s">
        <v>4722</v>
      </c>
      <c r="J1594" s="28" t="s">
        <v>51</v>
      </c>
      <c r="L1594" s="24" t="s">
        <v>4723</v>
      </c>
      <c r="M1594" s="1" t="str">
        <f>"152324199505016319"</f>
        <v>152324199505016319</v>
      </c>
      <c r="N1594" s="24" t="s">
        <v>4723</v>
      </c>
      <c r="O1594" s="1" t="str">
        <f>"152324199505016319"</f>
        <v>152324199505016319</v>
      </c>
      <c r="P1594" s="23" t="s">
        <v>4724</v>
      </c>
      <c r="Q1594" s="23">
        <v>45091</v>
      </c>
      <c r="R1594" s="32">
        <v>45457</v>
      </c>
      <c r="V1594" s="33">
        <v>100</v>
      </c>
      <c r="W1594" s="28">
        <v>64.29</v>
      </c>
      <c r="X1594" s="34" t="s">
        <v>54</v>
      </c>
      <c r="Y1594" s="33">
        <v>64.29</v>
      </c>
      <c r="AC1594" s="28">
        <v>64.29</v>
      </c>
      <c r="AD1594" s="34" t="s">
        <v>54</v>
      </c>
      <c r="AE1594" s="33">
        <v>64.29</v>
      </c>
      <c r="AN1594" s="7" t="s">
        <v>54</v>
      </c>
      <c r="AO1594" s="7" t="s">
        <v>55</v>
      </c>
      <c r="AP1594" s="7" t="s">
        <v>56</v>
      </c>
      <c r="AT1594" s="47" t="s">
        <v>57</v>
      </c>
      <c r="AU1594" s="47" t="s">
        <v>57</v>
      </c>
    </row>
    <row r="1595" spans="1:47">
      <c r="A1595" s="4" t="s">
        <v>48</v>
      </c>
      <c r="C1595" s="21"/>
      <c r="D1595" s="22" t="s">
        <v>49</v>
      </c>
      <c r="G1595" s="23">
        <v>45089</v>
      </c>
      <c r="H1595" s="24" t="s">
        <v>4725</v>
      </c>
      <c r="J1595" s="28" t="s">
        <v>51</v>
      </c>
      <c r="L1595" s="24" t="s">
        <v>4726</v>
      </c>
      <c r="M1595" s="1" t="str">
        <f>"341204199401251414"</f>
        <v>341204199401251414</v>
      </c>
      <c r="N1595" s="24" t="s">
        <v>4726</v>
      </c>
      <c r="O1595" s="1" t="str">
        <f>"341204199401251414"</f>
        <v>341204199401251414</v>
      </c>
      <c r="P1595" s="23" t="s">
        <v>4727</v>
      </c>
      <c r="Q1595" s="23">
        <v>45090</v>
      </c>
      <c r="R1595" s="32">
        <v>45456</v>
      </c>
      <c r="V1595" s="33">
        <v>100</v>
      </c>
      <c r="W1595" s="28">
        <v>64.29</v>
      </c>
      <c r="X1595" s="34" t="s">
        <v>54</v>
      </c>
      <c r="Y1595" s="33">
        <v>64.29</v>
      </c>
      <c r="AC1595" s="28">
        <v>64.29</v>
      </c>
      <c r="AD1595" s="34" t="s">
        <v>54</v>
      </c>
      <c r="AE1595" s="33">
        <v>64.29</v>
      </c>
      <c r="AN1595" s="7" t="s">
        <v>54</v>
      </c>
      <c r="AO1595" s="7" t="s">
        <v>55</v>
      </c>
      <c r="AP1595" s="7" t="s">
        <v>56</v>
      </c>
      <c r="AT1595" s="47" t="s">
        <v>57</v>
      </c>
      <c r="AU1595" s="47" t="s">
        <v>57</v>
      </c>
    </row>
    <row r="1596" spans="1:47">
      <c r="A1596" s="4" t="s">
        <v>48</v>
      </c>
      <c r="C1596" s="21"/>
      <c r="D1596" s="22" t="s">
        <v>49</v>
      </c>
      <c r="G1596" s="23">
        <v>45090</v>
      </c>
      <c r="H1596" s="24" t="s">
        <v>4728</v>
      </c>
      <c r="J1596" s="28" t="s">
        <v>51</v>
      </c>
      <c r="L1596" s="24" t="s">
        <v>4729</v>
      </c>
      <c r="M1596" s="1" t="str">
        <f>"341204197909291020"</f>
        <v>341204197909291020</v>
      </c>
      <c r="N1596" s="24" t="s">
        <v>4729</v>
      </c>
      <c r="O1596" s="1" t="str">
        <f>"341204197909291020"</f>
        <v>341204197909291020</v>
      </c>
      <c r="P1596" s="23" t="s">
        <v>4730</v>
      </c>
      <c r="Q1596" s="23">
        <v>45091</v>
      </c>
      <c r="R1596" s="32">
        <v>45457</v>
      </c>
      <c r="V1596" s="33">
        <v>100</v>
      </c>
      <c r="W1596" s="28">
        <v>64.29</v>
      </c>
      <c r="X1596" s="34" t="s">
        <v>54</v>
      </c>
      <c r="Y1596" s="33">
        <v>64.29</v>
      </c>
      <c r="AC1596" s="28">
        <v>64.29</v>
      </c>
      <c r="AD1596" s="34" t="s">
        <v>54</v>
      </c>
      <c r="AE1596" s="33">
        <v>64.29</v>
      </c>
      <c r="AN1596" s="7" t="s">
        <v>54</v>
      </c>
      <c r="AO1596" s="7" t="s">
        <v>55</v>
      </c>
      <c r="AP1596" s="7" t="s">
        <v>56</v>
      </c>
      <c r="AT1596" s="47" t="s">
        <v>57</v>
      </c>
      <c r="AU1596" s="47" t="s">
        <v>57</v>
      </c>
    </row>
    <row r="1597" spans="1:47">
      <c r="A1597" s="4" t="s">
        <v>48</v>
      </c>
      <c r="C1597" s="21"/>
      <c r="D1597" s="22" t="s">
        <v>49</v>
      </c>
      <c r="G1597" s="23">
        <v>45076</v>
      </c>
      <c r="H1597" s="24" t="s">
        <v>4731</v>
      </c>
      <c r="J1597" s="28" t="s">
        <v>51</v>
      </c>
      <c r="L1597" s="24" t="s">
        <v>2480</v>
      </c>
      <c r="M1597" s="1" t="str">
        <f>"342122197609133790"</f>
        <v>342122197609133790</v>
      </c>
      <c r="N1597" s="24" t="s">
        <v>2480</v>
      </c>
      <c r="O1597" s="1" t="str">
        <f>"342122197609133790"</f>
        <v>342122197609133790</v>
      </c>
      <c r="P1597" s="23" t="s">
        <v>4732</v>
      </c>
      <c r="Q1597" s="23">
        <v>45200</v>
      </c>
      <c r="R1597" s="32">
        <v>45566</v>
      </c>
      <c r="V1597" s="33">
        <v>100</v>
      </c>
      <c r="W1597" s="28">
        <v>64.29</v>
      </c>
      <c r="X1597" s="34" t="s">
        <v>54</v>
      </c>
      <c r="Y1597" s="33">
        <v>64.29</v>
      </c>
      <c r="AC1597" s="28">
        <v>64.29</v>
      </c>
      <c r="AD1597" s="34" t="s">
        <v>54</v>
      </c>
      <c r="AE1597" s="33">
        <v>64.29</v>
      </c>
      <c r="AN1597" s="7" t="s">
        <v>54</v>
      </c>
      <c r="AO1597" s="7" t="s">
        <v>55</v>
      </c>
      <c r="AP1597" s="7" t="s">
        <v>56</v>
      </c>
      <c r="AT1597" s="47" t="s">
        <v>57</v>
      </c>
      <c r="AU1597" s="47" t="s">
        <v>57</v>
      </c>
    </row>
    <row r="1598" spans="1:47">
      <c r="A1598" s="4" t="s">
        <v>48</v>
      </c>
      <c r="C1598" s="21"/>
      <c r="D1598" s="22" t="s">
        <v>49</v>
      </c>
      <c r="G1598" s="23">
        <v>45078</v>
      </c>
      <c r="H1598" s="24" t="s">
        <v>4733</v>
      </c>
      <c r="J1598" s="28" t="s">
        <v>51</v>
      </c>
      <c r="L1598" s="24" t="s">
        <v>4734</v>
      </c>
      <c r="M1598" s="1" t="str">
        <f>"341221199006144121"</f>
        <v>341221199006144121</v>
      </c>
      <c r="N1598" s="24" t="s">
        <v>4734</v>
      </c>
      <c r="O1598" s="1" t="str">
        <f>"341221199006144121"</f>
        <v>341221199006144121</v>
      </c>
      <c r="P1598" s="23" t="s">
        <v>4735</v>
      </c>
      <c r="Q1598" s="23">
        <v>45092</v>
      </c>
      <c r="R1598" s="32">
        <v>45458</v>
      </c>
      <c r="V1598" s="33">
        <v>100</v>
      </c>
      <c r="W1598" s="28">
        <v>64.29</v>
      </c>
      <c r="X1598" s="34" t="s">
        <v>54</v>
      </c>
      <c r="Y1598" s="33">
        <v>64.29</v>
      </c>
      <c r="AC1598" s="28">
        <v>64.29</v>
      </c>
      <c r="AD1598" s="34" t="s">
        <v>54</v>
      </c>
      <c r="AE1598" s="33">
        <v>64.29</v>
      </c>
      <c r="AN1598" s="7" t="s">
        <v>54</v>
      </c>
      <c r="AO1598" s="7" t="s">
        <v>55</v>
      </c>
      <c r="AP1598" s="7" t="s">
        <v>56</v>
      </c>
      <c r="AT1598" s="47" t="s">
        <v>57</v>
      </c>
      <c r="AU1598" s="47" t="s">
        <v>57</v>
      </c>
    </row>
    <row r="1599" spans="1:47">
      <c r="A1599" s="4" t="s">
        <v>48</v>
      </c>
      <c r="C1599" s="21"/>
      <c r="D1599" s="22" t="s">
        <v>49</v>
      </c>
      <c r="G1599" s="23">
        <v>45078</v>
      </c>
      <c r="H1599" s="24" t="s">
        <v>4736</v>
      </c>
      <c r="J1599" s="28" t="s">
        <v>51</v>
      </c>
      <c r="L1599" s="24" t="s">
        <v>4737</v>
      </c>
      <c r="M1599" s="1" t="str">
        <f>"341204199305022419"</f>
        <v>341204199305022419</v>
      </c>
      <c r="N1599" s="24" t="s">
        <v>4737</v>
      </c>
      <c r="O1599" s="1" t="str">
        <f>"341204199305022419"</f>
        <v>341204199305022419</v>
      </c>
      <c r="P1599" s="23" t="s">
        <v>4738</v>
      </c>
      <c r="Q1599" s="23">
        <v>45079</v>
      </c>
      <c r="R1599" s="32">
        <v>45445</v>
      </c>
      <c r="V1599" s="33">
        <v>100</v>
      </c>
      <c r="W1599" s="28">
        <v>64.29</v>
      </c>
      <c r="X1599" s="34" t="s">
        <v>54</v>
      </c>
      <c r="Y1599" s="33">
        <v>64.29</v>
      </c>
      <c r="AC1599" s="28">
        <v>64.29</v>
      </c>
      <c r="AD1599" s="34" t="s">
        <v>54</v>
      </c>
      <c r="AE1599" s="33">
        <v>64.29</v>
      </c>
      <c r="AN1599" s="7" t="s">
        <v>54</v>
      </c>
      <c r="AO1599" s="7" t="s">
        <v>55</v>
      </c>
      <c r="AP1599" s="7" t="s">
        <v>56</v>
      </c>
      <c r="AT1599" s="47" t="s">
        <v>57</v>
      </c>
      <c r="AU1599" s="47" t="s">
        <v>57</v>
      </c>
    </row>
    <row r="1600" spans="1:47">
      <c r="A1600" s="4" t="s">
        <v>48</v>
      </c>
      <c r="C1600" s="21"/>
      <c r="D1600" s="22" t="s">
        <v>49</v>
      </c>
      <c r="G1600" s="23">
        <v>45078</v>
      </c>
      <c r="H1600" s="24" t="s">
        <v>4739</v>
      </c>
      <c r="J1600" s="28" t="s">
        <v>51</v>
      </c>
      <c r="L1600" s="24" t="s">
        <v>1907</v>
      </c>
      <c r="M1600" s="1" t="str">
        <f>"34122119750106412X"</f>
        <v>34122119750106412X</v>
      </c>
      <c r="N1600" s="24" t="s">
        <v>1907</v>
      </c>
      <c r="O1600" s="1" t="str">
        <f>"34122119750106412X"</f>
        <v>34122119750106412X</v>
      </c>
      <c r="P1600" s="23" t="s">
        <v>4740</v>
      </c>
      <c r="Q1600" s="23">
        <v>45079</v>
      </c>
      <c r="R1600" s="32">
        <v>45445</v>
      </c>
      <c r="V1600" s="33">
        <v>100</v>
      </c>
      <c r="W1600" s="28">
        <v>64.29</v>
      </c>
      <c r="X1600" s="34" t="s">
        <v>54</v>
      </c>
      <c r="Y1600" s="33">
        <v>64.29</v>
      </c>
      <c r="AC1600" s="28">
        <v>64.29</v>
      </c>
      <c r="AD1600" s="34" t="s">
        <v>54</v>
      </c>
      <c r="AE1600" s="33">
        <v>64.29</v>
      </c>
      <c r="AN1600" s="7" t="s">
        <v>54</v>
      </c>
      <c r="AO1600" s="7" t="s">
        <v>55</v>
      </c>
      <c r="AP1600" s="7" t="s">
        <v>56</v>
      </c>
      <c r="AT1600" s="47" t="s">
        <v>57</v>
      </c>
      <c r="AU1600" s="47" t="s">
        <v>57</v>
      </c>
    </row>
    <row r="1601" spans="1:47">
      <c r="A1601" s="4" t="s">
        <v>48</v>
      </c>
      <c r="C1601" s="21"/>
      <c r="D1601" s="22" t="s">
        <v>49</v>
      </c>
      <c r="G1601" s="23">
        <v>45076</v>
      </c>
      <c r="H1601" s="24" t="s">
        <v>4741</v>
      </c>
      <c r="J1601" s="28" t="s">
        <v>51</v>
      </c>
      <c r="L1601" s="24" t="s">
        <v>4742</v>
      </c>
      <c r="M1601" s="1" t="str">
        <f>"131024197709185042"</f>
        <v>131024197709185042</v>
      </c>
      <c r="N1601" s="24" t="s">
        <v>4742</v>
      </c>
      <c r="O1601" s="1" t="str">
        <f>"131024197709185042"</f>
        <v>131024197709185042</v>
      </c>
      <c r="P1601" s="23" t="s">
        <v>4743</v>
      </c>
      <c r="Q1601" s="23">
        <v>45077</v>
      </c>
      <c r="R1601" s="32">
        <v>45443</v>
      </c>
      <c r="V1601" s="33">
        <v>300</v>
      </c>
      <c r="W1601" s="28">
        <v>64.29</v>
      </c>
      <c r="X1601" s="34" t="s">
        <v>54</v>
      </c>
      <c r="Y1601" s="33">
        <v>192.87</v>
      </c>
      <c r="AC1601" s="28">
        <v>64.29</v>
      </c>
      <c r="AD1601" s="34" t="s">
        <v>54</v>
      </c>
      <c r="AE1601" s="33">
        <v>192.87</v>
      </c>
      <c r="AN1601" s="7" t="s">
        <v>54</v>
      </c>
      <c r="AO1601" s="7" t="s">
        <v>55</v>
      </c>
      <c r="AP1601" s="7" t="s">
        <v>56</v>
      </c>
      <c r="AT1601" s="47" t="s">
        <v>57</v>
      </c>
      <c r="AU1601" s="47" t="s">
        <v>57</v>
      </c>
    </row>
    <row r="1602" spans="1:47">
      <c r="A1602" s="4" t="s">
        <v>48</v>
      </c>
      <c r="C1602" s="21"/>
      <c r="D1602" s="22" t="s">
        <v>49</v>
      </c>
      <c r="G1602" s="23">
        <v>45097</v>
      </c>
      <c r="H1602" s="24" t="s">
        <v>4744</v>
      </c>
      <c r="J1602" s="28" t="s">
        <v>51</v>
      </c>
      <c r="L1602" s="24" t="s">
        <v>4745</v>
      </c>
      <c r="M1602" s="1" t="str">
        <f>"230183198407294625"</f>
        <v>230183198407294625</v>
      </c>
      <c r="N1602" s="24" t="s">
        <v>4745</v>
      </c>
      <c r="O1602" s="1" t="str">
        <f>"230183198407294625"</f>
        <v>230183198407294625</v>
      </c>
      <c r="P1602" s="23" t="s">
        <v>4746</v>
      </c>
      <c r="Q1602" s="23">
        <v>45098</v>
      </c>
      <c r="R1602" s="32">
        <v>45464</v>
      </c>
      <c r="V1602" s="33">
        <v>600</v>
      </c>
      <c r="W1602" s="28">
        <v>64.29</v>
      </c>
      <c r="X1602" s="34" t="s">
        <v>54</v>
      </c>
      <c r="Y1602" s="33">
        <v>385.74</v>
      </c>
      <c r="AC1602" s="28">
        <v>64.29</v>
      </c>
      <c r="AD1602" s="34" t="s">
        <v>54</v>
      </c>
      <c r="AE1602" s="33">
        <v>385.74</v>
      </c>
      <c r="AN1602" s="7" t="s">
        <v>54</v>
      </c>
      <c r="AO1602" s="7" t="s">
        <v>55</v>
      </c>
      <c r="AP1602" s="7" t="s">
        <v>56</v>
      </c>
      <c r="AT1602" s="47" t="s">
        <v>57</v>
      </c>
      <c r="AU1602" s="47" t="s">
        <v>57</v>
      </c>
    </row>
    <row r="1603" spans="1:47">
      <c r="A1603" s="4" t="s">
        <v>48</v>
      </c>
      <c r="C1603" s="21"/>
      <c r="D1603" s="22" t="s">
        <v>49</v>
      </c>
      <c r="G1603" s="23">
        <v>45089</v>
      </c>
      <c r="H1603" s="24" t="s">
        <v>4747</v>
      </c>
      <c r="J1603" s="28" t="s">
        <v>51</v>
      </c>
      <c r="L1603" s="24" t="s">
        <v>4748</v>
      </c>
      <c r="M1603" s="1" t="str">
        <f>"120222198906067061"</f>
        <v>120222198906067061</v>
      </c>
      <c r="N1603" s="24" t="s">
        <v>4748</v>
      </c>
      <c r="O1603" s="1" t="str">
        <f>"120222198906067061"</f>
        <v>120222198906067061</v>
      </c>
      <c r="P1603" s="23" t="s">
        <v>4749</v>
      </c>
      <c r="Q1603" s="23">
        <v>45090</v>
      </c>
      <c r="R1603" s="32">
        <v>45456</v>
      </c>
      <c r="V1603" s="33">
        <v>50</v>
      </c>
      <c r="W1603" s="28">
        <v>64.29</v>
      </c>
      <c r="X1603" s="34" t="s">
        <v>54</v>
      </c>
      <c r="Y1603" s="33">
        <v>32.15</v>
      </c>
      <c r="AC1603" s="28">
        <v>64.29</v>
      </c>
      <c r="AD1603" s="34" t="s">
        <v>54</v>
      </c>
      <c r="AE1603" s="33">
        <v>32.15</v>
      </c>
      <c r="AN1603" s="7" t="s">
        <v>54</v>
      </c>
      <c r="AO1603" s="7" t="s">
        <v>55</v>
      </c>
      <c r="AP1603" s="7" t="s">
        <v>56</v>
      </c>
      <c r="AT1603" s="47" t="s">
        <v>57</v>
      </c>
      <c r="AU1603" s="47" t="s">
        <v>57</v>
      </c>
    </row>
    <row r="1604" spans="1:47">
      <c r="A1604" s="4" t="s">
        <v>48</v>
      </c>
      <c r="C1604" s="21"/>
      <c r="D1604" s="22" t="s">
        <v>49</v>
      </c>
      <c r="G1604" s="23">
        <v>45088</v>
      </c>
      <c r="H1604" s="24" t="s">
        <v>4750</v>
      </c>
      <c r="J1604" s="28" t="s">
        <v>51</v>
      </c>
      <c r="L1604" s="24" t="s">
        <v>4751</v>
      </c>
      <c r="M1604" s="1" t="str">
        <f>"131024199102227241"</f>
        <v>131024199102227241</v>
      </c>
      <c r="N1604" s="24" t="s">
        <v>4751</v>
      </c>
      <c r="O1604" s="1" t="str">
        <f>"131024199102227241"</f>
        <v>131024199102227241</v>
      </c>
      <c r="P1604" s="23" t="s">
        <v>4752</v>
      </c>
      <c r="Q1604" s="23">
        <v>45089</v>
      </c>
      <c r="R1604" s="32">
        <v>45455</v>
      </c>
      <c r="V1604" s="33">
        <v>50</v>
      </c>
      <c r="W1604" s="28">
        <v>64.29</v>
      </c>
      <c r="X1604" s="34" t="s">
        <v>54</v>
      </c>
      <c r="Y1604" s="33">
        <v>32.15</v>
      </c>
      <c r="AC1604" s="28">
        <v>64.29</v>
      </c>
      <c r="AD1604" s="34" t="s">
        <v>54</v>
      </c>
      <c r="AE1604" s="33">
        <v>32.15</v>
      </c>
      <c r="AN1604" s="7" t="s">
        <v>54</v>
      </c>
      <c r="AO1604" s="7" t="s">
        <v>55</v>
      </c>
      <c r="AP1604" s="7" t="s">
        <v>56</v>
      </c>
      <c r="AT1604" s="47" t="s">
        <v>57</v>
      </c>
      <c r="AU1604" s="47" t="s">
        <v>57</v>
      </c>
    </row>
    <row r="1605" spans="1:47">
      <c r="A1605" s="4" t="s">
        <v>48</v>
      </c>
      <c r="C1605" s="21"/>
      <c r="D1605" s="22" t="s">
        <v>49</v>
      </c>
      <c r="G1605" s="23">
        <v>45102</v>
      </c>
      <c r="H1605" s="24" t="s">
        <v>4753</v>
      </c>
      <c r="J1605" s="28" t="s">
        <v>51</v>
      </c>
      <c r="L1605" s="24" t="s">
        <v>4754</v>
      </c>
      <c r="M1605" s="1" t="str">
        <f>"131024199005220013"</f>
        <v>131024199005220013</v>
      </c>
      <c r="N1605" s="24" t="s">
        <v>4754</v>
      </c>
      <c r="O1605" s="1" t="str">
        <f>"131024199005220013"</f>
        <v>131024199005220013</v>
      </c>
      <c r="P1605" s="23" t="s">
        <v>4755</v>
      </c>
      <c r="Q1605" s="23">
        <v>45103</v>
      </c>
      <c r="R1605" s="32">
        <v>45469</v>
      </c>
      <c r="V1605" s="33">
        <v>100</v>
      </c>
      <c r="W1605" s="28">
        <v>64.29</v>
      </c>
      <c r="X1605" s="34" t="s">
        <v>54</v>
      </c>
      <c r="Y1605" s="33">
        <v>64.29</v>
      </c>
      <c r="AC1605" s="28">
        <v>64.29</v>
      </c>
      <c r="AD1605" s="34" t="s">
        <v>54</v>
      </c>
      <c r="AE1605" s="33">
        <v>64.29</v>
      </c>
      <c r="AN1605" s="7" t="s">
        <v>54</v>
      </c>
      <c r="AO1605" s="7" t="s">
        <v>55</v>
      </c>
      <c r="AP1605" s="7" t="s">
        <v>56</v>
      </c>
      <c r="AT1605" s="47" t="s">
        <v>57</v>
      </c>
      <c r="AU1605" s="47" t="s">
        <v>57</v>
      </c>
    </row>
    <row r="1606" spans="1:47">
      <c r="A1606" s="4" t="s">
        <v>48</v>
      </c>
      <c r="C1606" s="21"/>
      <c r="D1606" s="22" t="s">
        <v>49</v>
      </c>
      <c r="G1606" s="23">
        <v>45100</v>
      </c>
      <c r="H1606" s="24" t="s">
        <v>4756</v>
      </c>
      <c r="J1606" s="28" t="s">
        <v>51</v>
      </c>
      <c r="L1606" s="24" t="s">
        <v>4757</v>
      </c>
      <c r="M1606" s="1" t="str">
        <f>"132823198003297811"</f>
        <v>132823198003297811</v>
      </c>
      <c r="N1606" s="24" t="s">
        <v>4757</v>
      </c>
      <c r="O1606" s="1" t="str">
        <f>"132823198003297811"</f>
        <v>132823198003297811</v>
      </c>
      <c r="P1606" s="23" t="s">
        <v>4758</v>
      </c>
      <c r="Q1606" s="23">
        <v>45311</v>
      </c>
      <c r="R1606" s="32">
        <v>45677</v>
      </c>
      <c r="V1606" s="33">
        <v>100</v>
      </c>
      <c r="W1606" s="28">
        <v>64.29</v>
      </c>
      <c r="X1606" s="34" t="s">
        <v>54</v>
      </c>
      <c r="Y1606" s="33">
        <v>64.29</v>
      </c>
      <c r="AC1606" s="28">
        <v>64.29</v>
      </c>
      <c r="AD1606" s="34" t="s">
        <v>54</v>
      </c>
      <c r="AE1606" s="33">
        <v>64.29</v>
      </c>
      <c r="AN1606" s="7" t="s">
        <v>54</v>
      </c>
      <c r="AO1606" s="7" t="s">
        <v>55</v>
      </c>
      <c r="AP1606" s="7" t="s">
        <v>56</v>
      </c>
      <c r="AT1606" s="47" t="s">
        <v>57</v>
      </c>
      <c r="AU1606" s="47" t="s">
        <v>57</v>
      </c>
    </row>
    <row r="1607" spans="1:47">
      <c r="A1607" s="4" t="s">
        <v>48</v>
      </c>
      <c r="C1607" s="21"/>
      <c r="D1607" s="22" t="s">
        <v>49</v>
      </c>
      <c r="G1607" s="23">
        <v>45097</v>
      </c>
      <c r="H1607" s="24" t="s">
        <v>4759</v>
      </c>
      <c r="J1607" s="28" t="s">
        <v>51</v>
      </c>
      <c r="L1607" s="24" t="s">
        <v>4760</v>
      </c>
      <c r="M1607" s="1" t="str">
        <f>"131024198609180062"</f>
        <v>131024198609180062</v>
      </c>
      <c r="N1607" s="24" t="s">
        <v>4760</v>
      </c>
      <c r="O1607" s="1" t="str">
        <f>"131024198609180062"</f>
        <v>131024198609180062</v>
      </c>
      <c r="P1607" s="23" t="s">
        <v>4761</v>
      </c>
      <c r="Q1607" s="23">
        <v>45098</v>
      </c>
      <c r="R1607" s="32">
        <v>45464</v>
      </c>
      <c r="V1607" s="33">
        <v>100</v>
      </c>
      <c r="W1607" s="28">
        <v>64.29</v>
      </c>
      <c r="X1607" s="34" t="s">
        <v>54</v>
      </c>
      <c r="Y1607" s="33">
        <v>64.29</v>
      </c>
      <c r="AC1607" s="28">
        <v>64.29</v>
      </c>
      <c r="AD1607" s="34" t="s">
        <v>54</v>
      </c>
      <c r="AE1607" s="33">
        <v>64.29</v>
      </c>
      <c r="AN1607" s="7" t="s">
        <v>54</v>
      </c>
      <c r="AO1607" s="7" t="s">
        <v>55</v>
      </c>
      <c r="AP1607" s="7" t="s">
        <v>56</v>
      </c>
      <c r="AT1607" s="47" t="s">
        <v>57</v>
      </c>
      <c r="AU1607" s="47" t="s">
        <v>57</v>
      </c>
    </row>
    <row r="1608" spans="1:47">
      <c r="A1608" s="4" t="s">
        <v>48</v>
      </c>
      <c r="C1608" s="21"/>
      <c r="D1608" s="22" t="s">
        <v>49</v>
      </c>
      <c r="G1608" s="23">
        <v>45089</v>
      </c>
      <c r="H1608" s="24" t="s">
        <v>4762</v>
      </c>
      <c r="J1608" s="28" t="s">
        <v>51</v>
      </c>
      <c r="L1608" s="24" t="s">
        <v>4763</v>
      </c>
      <c r="M1608" s="1" t="str">
        <f>"370683198111147640"</f>
        <v>370683198111147640</v>
      </c>
      <c r="N1608" s="24" t="s">
        <v>4763</v>
      </c>
      <c r="O1608" s="1" t="str">
        <f>"370683198111147640"</f>
        <v>370683198111147640</v>
      </c>
      <c r="P1608" s="23" t="s">
        <v>4764</v>
      </c>
      <c r="Q1608" s="23">
        <v>45291</v>
      </c>
      <c r="R1608" s="32">
        <v>45657</v>
      </c>
      <c r="V1608" s="33">
        <v>100</v>
      </c>
      <c r="W1608" s="28">
        <v>64.29</v>
      </c>
      <c r="X1608" s="34" t="s">
        <v>54</v>
      </c>
      <c r="Y1608" s="33">
        <v>64.29</v>
      </c>
      <c r="AC1608" s="28">
        <v>64.29</v>
      </c>
      <c r="AD1608" s="34" t="s">
        <v>54</v>
      </c>
      <c r="AE1608" s="33">
        <v>64.29</v>
      </c>
      <c r="AN1608" s="7" t="s">
        <v>54</v>
      </c>
      <c r="AO1608" s="7" t="s">
        <v>55</v>
      </c>
      <c r="AP1608" s="7" t="s">
        <v>56</v>
      </c>
      <c r="AT1608" s="47" t="s">
        <v>57</v>
      </c>
      <c r="AU1608" s="47" t="s">
        <v>57</v>
      </c>
    </row>
    <row r="1609" spans="1:47">
      <c r="A1609" s="4" t="s">
        <v>48</v>
      </c>
      <c r="C1609" s="21"/>
      <c r="D1609" s="22" t="s">
        <v>49</v>
      </c>
      <c r="G1609" s="23">
        <v>45089</v>
      </c>
      <c r="H1609" s="24" t="s">
        <v>4765</v>
      </c>
      <c r="J1609" s="28" t="s">
        <v>51</v>
      </c>
      <c r="L1609" s="24" t="s">
        <v>4766</v>
      </c>
      <c r="M1609" s="1" t="str">
        <f>"34212219670720915X"</f>
        <v>34212219670720915X</v>
      </c>
      <c r="N1609" s="24" t="s">
        <v>4766</v>
      </c>
      <c r="O1609" s="1" t="str">
        <f>"34212219670720915X"</f>
        <v>34212219670720915X</v>
      </c>
      <c r="P1609" s="23" t="s">
        <v>4767</v>
      </c>
      <c r="Q1609" s="23">
        <v>45090</v>
      </c>
      <c r="R1609" s="32">
        <v>45456</v>
      </c>
      <c r="V1609" s="33">
        <v>100</v>
      </c>
      <c r="W1609" s="28">
        <v>64.29</v>
      </c>
      <c r="X1609" s="34" t="s">
        <v>54</v>
      </c>
      <c r="Y1609" s="33">
        <v>64.29</v>
      </c>
      <c r="AC1609" s="28">
        <v>64.29</v>
      </c>
      <c r="AD1609" s="34" t="s">
        <v>54</v>
      </c>
      <c r="AE1609" s="33">
        <v>64.29</v>
      </c>
      <c r="AN1609" s="7" t="s">
        <v>54</v>
      </c>
      <c r="AO1609" s="7" t="s">
        <v>55</v>
      </c>
      <c r="AP1609" s="7" t="s">
        <v>56</v>
      </c>
      <c r="AT1609" s="47" t="s">
        <v>57</v>
      </c>
      <c r="AU1609" s="47" t="s">
        <v>57</v>
      </c>
    </row>
    <row r="1610" spans="1:47">
      <c r="A1610" s="4" t="s">
        <v>48</v>
      </c>
      <c r="C1610" s="21"/>
      <c r="D1610" s="22" t="s">
        <v>49</v>
      </c>
      <c r="G1610" s="23">
        <v>45089</v>
      </c>
      <c r="H1610" s="24" t="s">
        <v>4768</v>
      </c>
      <c r="J1610" s="28" t="s">
        <v>51</v>
      </c>
      <c r="L1610" s="24" t="s">
        <v>4769</v>
      </c>
      <c r="M1610" s="1" t="str">
        <f>"342121196807141918"</f>
        <v>342121196807141918</v>
      </c>
      <c r="N1610" s="24" t="s">
        <v>4769</v>
      </c>
      <c r="O1610" s="1" t="str">
        <f>"342121196807141918"</f>
        <v>342121196807141918</v>
      </c>
      <c r="P1610" s="23" t="s">
        <v>4770</v>
      </c>
      <c r="Q1610" s="23">
        <v>45182</v>
      </c>
      <c r="R1610" s="32">
        <v>45548</v>
      </c>
      <c r="V1610" s="33">
        <v>100</v>
      </c>
      <c r="W1610" s="28">
        <v>64.29</v>
      </c>
      <c r="X1610" s="34" t="s">
        <v>54</v>
      </c>
      <c r="Y1610" s="33">
        <v>64.29</v>
      </c>
      <c r="AC1610" s="28">
        <v>64.29</v>
      </c>
      <c r="AD1610" s="34" t="s">
        <v>54</v>
      </c>
      <c r="AE1610" s="33">
        <v>64.29</v>
      </c>
      <c r="AN1610" s="7" t="s">
        <v>54</v>
      </c>
      <c r="AO1610" s="7" t="s">
        <v>55</v>
      </c>
      <c r="AP1610" s="7" t="s">
        <v>56</v>
      </c>
      <c r="AT1610" s="47" t="s">
        <v>57</v>
      </c>
      <c r="AU1610" s="47" t="s">
        <v>57</v>
      </c>
    </row>
    <row r="1611" spans="1:47">
      <c r="A1611" s="4" t="s">
        <v>48</v>
      </c>
      <c r="C1611" s="21"/>
      <c r="D1611" s="22" t="s">
        <v>49</v>
      </c>
      <c r="G1611" s="23">
        <v>45075</v>
      </c>
      <c r="H1611" s="24" t="s">
        <v>4771</v>
      </c>
      <c r="J1611" s="28" t="s">
        <v>51</v>
      </c>
      <c r="L1611" s="24" t="s">
        <v>4772</v>
      </c>
      <c r="M1611" s="1" t="str">
        <f>"131024198408077210"</f>
        <v>131024198408077210</v>
      </c>
      <c r="N1611" s="24" t="s">
        <v>4772</v>
      </c>
      <c r="O1611" s="1" t="str">
        <f>"131024198408077210"</f>
        <v>131024198408077210</v>
      </c>
      <c r="P1611" s="23" t="s">
        <v>4773</v>
      </c>
      <c r="Q1611" s="23">
        <v>45286</v>
      </c>
      <c r="R1611" s="32">
        <v>45652</v>
      </c>
      <c r="V1611" s="33">
        <v>100</v>
      </c>
      <c r="W1611" s="28">
        <v>64.29</v>
      </c>
      <c r="X1611" s="34" t="s">
        <v>54</v>
      </c>
      <c r="Y1611" s="33">
        <v>64.29</v>
      </c>
      <c r="AC1611" s="28">
        <v>64.29</v>
      </c>
      <c r="AD1611" s="34" t="s">
        <v>54</v>
      </c>
      <c r="AE1611" s="33">
        <v>64.29</v>
      </c>
      <c r="AN1611" s="7" t="s">
        <v>54</v>
      </c>
      <c r="AO1611" s="7" t="s">
        <v>55</v>
      </c>
      <c r="AP1611" s="7" t="s">
        <v>56</v>
      </c>
      <c r="AT1611" s="47" t="s">
        <v>57</v>
      </c>
      <c r="AU1611" s="47" t="s">
        <v>57</v>
      </c>
    </row>
    <row r="1612" spans="1:47">
      <c r="A1612" s="4" t="s">
        <v>48</v>
      </c>
      <c r="C1612" s="21"/>
      <c r="D1612" s="22" t="s">
        <v>49</v>
      </c>
      <c r="G1612" s="23">
        <v>45076</v>
      </c>
      <c r="H1612" s="24" t="s">
        <v>4774</v>
      </c>
      <c r="J1612" s="28" t="s">
        <v>51</v>
      </c>
      <c r="L1612" s="24" t="s">
        <v>4775</v>
      </c>
      <c r="M1612" s="1" t="str">
        <f>"370126198809102140"</f>
        <v>370126198809102140</v>
      </c>
      <c r="N1612" s="24" t="s">
        <v>4775</v>
      </c>
      <c r="O1612" s="1" t="str">
        <f>"370126198809102140"</f>
        <v>370126198809102140</v>
      </c>
      <c r="P1612" s="23" t="s">
        <v>4776</v>
      </c>
      <c r="Q1612" s="23">
        <v>45170</v>
      </c>
      <c r="R1612" s="32">
        <v>45536</v>
      </c>
      <c r="V1612" s="33">
        <v>100</v>
      </c>
      <c r="W1612" s="28">
        <v>64.29</v>
      </c>
      <c r="X1612" s="34" t="s">
        <v>54</v>
      </c>
      <c r="Y1612" s="33">
        <v>64.29</v>
      </c>
      <c r="AC1612" s="28">
        <v>64.29</v>
      </c>
      <c r="AD1612" s="34" t="s">
        <v>54</v>
      </c>
      <c r="AE1612" s="33">
        <v>64.29</v>
      </c>
      <c r="AN1612" s="7" t="s">
        <v>54</v>
      </c>
      <c r="AO1612" s="7" t="s">
        <v>55</v>
      </c>
      <c r="AP1612" s="7" t="s">
        <v>56</v>
      </c>
      <c r="AT1612" s="47" t="s">
        <v>57</v>
      </c>
      <c r="AU1612" s="47" t="s">
        <v>57</v>
      </c>
    </row>
    <row r="1613" spans="1:47">
      <c r="A1613" s="4" t="s">
        <v>48</v>
      </c>
      <c r="C1613" s="21"/>
      <c r="D1613" s="22" t="s">
        <v>49</v>
      </c>
      <c r="G1613" s="23">
        <v>45075</v>
      </c>
      <c r="H1613" s="24" t="s">
        <v>4777</v>
      </c>
      <c r="J1613" s="28" t="s">
        <v>51</v>
      </c>
      <c r="L1613" s="24" t="s">
        <v>4778</v>
      </c>
      <c r="M1613" s="1" t="str">
        <f>"131024198701090043"</f>
        <v>131024198701090043</v>
      </c>
      <c r="N1613" s="24" t="s">
        <v>4778</v>
      </c>
      <c r="O1613" s="1" t="str">
        <f>"131024198701090043"</f>
        <v>131024198701090043</v>
      </c>
      <c r="P1613" s="23" t="s">
        <v>4779</v>
      </c>
      <c r="Q1613" s="23">
        <v>45225</v>
      </c>
      <c r="R1613" s="32">
        <v>45591</v>
      </c>
      <c r="V1613" s="33">
        <v>100</v>
      </c>
      <c r="W1613" s="28">
        <v>64.29</v>
      </c>
      <c r="X1613" s="34" t="s">
        <v>54</v>
      </c>
      <c r="Y1613" s="33">
        <v>64.29</v>
      </c>
      <c r="AC1613" s="28">
        <v>64.29</v>
      </c>
      <c r="AD1613" s="34" t="s">
        <v>54</v>
      </c>
      <c r="AE1613" s="33">
        <v>64.29</v>
      </c>
      <c r="AN1613" s="7" t="s">
        <v>54</v>
      </c>
      <c r="AO1613" s="7" t="s">
        <v>55</v>
      </c>
      <c r="AP1613" s="7" t="s">
        <v>56</v>
      </c>
      <c r="AT1613" s="47" t="s">
        <v>57</v>
      </c>
      <c r="AU1613" s="47" t="s">
        <v>57</v>
      </c>
    </row>
    <row r="1614" spans="1:47">
      <c r="A1614" s="4" t="s">
        <v>48</v>
      </c>
      <c r="C1614" s="21"/>
      <c r="D1614" s="22" t="s">
        <v>49</v>
      </c>
      <c r="G1614" s="23">
        <v>45076</v>
      </c>
      <c r="H1614" s="24" t="s">
        <v>4780</v>
      </c>
      <c r="J1614" s="28" t="s">
        <v>51</v>
      </c>
      <c r="L1614" s="24" t="s">
        <v>4781</v>
      </c>
      <c r="M1614" s="1" t="str">
        <f>"342122196406021137"</f>
        <v>342122196406021137</v>
      </c>
      <c r="N1614" s="24" t="s">
        <v>4781</v>
      </c>
      <c r="O1614" s="1" t="str">
        <f>"342122196406021137"</f>
        <v>342122196406021137</v>
      </c>
      <c r="P1614" s="23" t="s">
        <v>4782</v>
      </c>
      <c r="Q1614" s="23">
        <v>45287</v>
      </c>
      <c r="R1614" s="32">
        <v>45653</v>
      </c>
      <c r="V1614" s="33">
        <v>100</v>
      </c>
      <c r="W1614" s="28">
        <v>64.29</v>
      </c>
      <c r="X1614" s="34" t="s">
        <v>54</v>
      </c>
      <c r="Y1614" s="33">
        <v>64.29</v>
      </c>
      <c r="AC1614" s="28">
        <v>64.29</v>
      </c>
      <c r="AD1614" s="34" t="s">
        <v>54</v>
      </c>
      <c r="AE1614" s="33">
        <v>64.29</v>
      </c>
      <c r="AN1614" s="7" t="s">
        <v>54</v>
      </c>
      <c r="AO1614" s="7" t="s">
        <v>55</v>
      </c>
      <c r="AP1614" s="7" t="s">
        <v>56</v>
      </c>
      <c r="AT1614" s="47" t="s">
        <v>57</v>
      </c>
      <c r="AU1614" s="47" t="s">
        <v>57</v>
      </c>
    </row>
    <row r="1615" spans="1:47">
      <c r="A1615" s="4" t="s">
        <v>48</v>
      </c>
      <c r="C1615" s="21"/>
      <c r="D1615" s="22" t="s">
        <v>49</v>
      </c>
      <c r="G1615" s="23">
        <v>45091</v>
      </c>
      <c r="H1615" s="24" t="s">
        <v>4783</v>
      </c>
      <c r="J1615" s="28" t="s">
        <v>51</v>
      </c>
      <c r="L1615" s="24" t="s">
        <v>4784</v>
      </c>
      <c r="M1615" s="1" t="str">
        <f>"131024198701252030"</f>
        <v>131024198701252030</v>
      </c>
      <c r="N1615" s="24" t="s">
        <v>4784</v>
      </c>
      <c r="O1615" s="1" t="str">
        <f>"131024198701252030"</f>
        <v>131024198701252030</v>
      </c>
      <c r="P1615" s="23" t="s">
        <v>4785</v>
      </c>
      <c r="Q1615" s="23">
        <v>45092</v>
      </c>
      <c r="R1615" s="32">
        <v>45458</v>
      </c>
      <c r="V1615" s="33">
        <v>600</v>
      </c>
      <c r="W1615" s="28">
        <v>64.29</v>
      </c>
      <c r="X1615" s="34" t="s">
        <v>54</v>
      </c>
      <c r="Y1615" s="33">
        <v>385.74</v>
      </c>
      <c r="AC1615" s="28">
        <v>64.29</v>
      </c>
      <c r="AD1615" s="34" t="s">
        <v>54</v>
      </c>
      <c r="AE1615" s="33">
        <v>385.74</v>
      </c>
      <c r="AN1615" s="7" t="s">
        <v>54</v>
      </c>
      <c r="AO1615" s="7" t="s">
        <v>55</v>
      </c>
      <c r="AP1615" s="7" t="s">
        <v>56</v>
      </c>
      <c r="AT1615" s="47" t="s">
        <v>57</v>
      </c>
      <c r="AU1615" s="47" t="s">
        <v>57</v>
      </c>
    </row>
    <row r="1616" spans="1:47">
      <c r="A1616" s="4" t="s">
        <v>48</v>
      </c>
      <c r="C1616" s="21"/>
      <c r="D1616" s="22" t="s">
        <v>49</v>
      </c>
      <c r="G1616" s="23">
        <v>45092</v>
      </c>
      <c r="H1616" s="24" t="s">
        <v>4786</v>
      </c>
      <c r="J1616" s="28" t="s">
        <v>51</v>
      </c>
      <c r="L1616" s="24" t="s">
        <v>4787</v>
      </c>
      <c r="M1616" s="1" t="str">
        <f>"341221199703103464"</f>
        <v>341221199703103464</v>
      </c>
      <c r="N1616" s="24" t="s">
        <v>4787</v>
      </c>
      <c r="O1616" s="1" t="str">
        <f>"341221199703103464"</f>
        <v>341221199703103464</v>
      </c>
      <c r="P1616" s="23" t="s">
        <v>4788</v>
      </c>
      <c r="Q1616" s="23">
        <v>45093</v>
      </c>
      <c r="R1616" s="32">
        <v>45459</v>
      </c>
      <c r="V1616" s="33">
        <v>600</v>
      </c>
      <c r="W1616" s="28">
        <v>64.29</v>
      </c>
      <c r="X1616" s="34" t="s">
        <v>54</v>
      </c>
      <c r="Y1616" s="33">
        <v>385.74</v>
      </c>
      <c r="AC1616" s="28">
        <v>64.29</v>
      </c>
      <c r="AD1616" s="34" t="s">
        <v>54</v>
      </c>
      <c r="AE1616" s="33">
        <v>385.74</v>
      </c>
      <c r="AN1616" s="7" t="s">
        <v>54</v>
      </c>
      <c r="AO1616" s="7" t="s">
        <v>55</v>
      </c>
      <c r="AP1616" s="7" t="s">
        <v>56</v>
      </c>
      <c r="AT1616" s="47" t="s">
        <v>57</v>
      </c>
      <c r="AU1616" s="47" t="s">
        <v>57</v>
      </c>
    </row>
    <row r="1617" spans="1:47">
      <c r="A1617" s="4" t="s">
        <v>48</v>
      </c>
      <c r="C1617" s="21"/>
      <c r="D1617" s="22" t="s">
        <v>49</v>
      </c>
      <c r="G1617" s="23">
        <v>45090</v>
      </c>
      <c r="H1617" s="24" t="s">
        <v>4789</v>
      </c>
      <c r="J1617" s="28" t="s">
        <v>51</v>
      </c>
      <c r="L1617" s="24" t="s">
        <v>100</v>
      </c>
      <c r="M1617" s="1" t="str">
        <f>"230183199309053224"</f>
        <v>230183199309053224</v>
      </c>
      <c r="N1617" s="24" t="s">
        <v>100</v>
      </c>
      <c r="O1617" s="1" t="str">
        <f>"230183199309053224"</f>
        <v>230183199309053224</v>
      </c>
      <c r="P1617" s="23" t="s">
        <v>4790</v>
      </c>
      <c r="Q1617" s="23">
        <v>45091</v>
      </c>
      <c r="R1617" s="32">
        <v>45457</v>
      </c>
      <c r="V1617" s="33">
        <v>600</v>
      </c>
      <c r="W1617" s="28">
        <v>64.29</v>
      </c>
      <c r="X1617" s="34" t="s">
        <v>54</v>
      </c>
      <c r="Y1617" s="33">
        <v>385.74</v>
      </c>
      <c r="AC1617" s="28">
        <v>64.29</v>
      </c>
      <c r="AD1617" s="34" t="s">
        <v>54</v>
      </c>
      <c r="AE1617" s="33">
        <v>385.74</v>
      </c>
      <c r="AN1617" s="7" t="s">
        <v>54</v>
      </c>
      <c r="AO1617" s="7" t="s">
        <v>55</v>
      </c>
      <c r="AP1617" s="7" t="s">
        <v>56</v>
      </c>
      <c r="AT1617" s="47" t="s">
        <v>57</v>
      </c>
      <c r="AU1617" s="47" t="s">
        <v>57</v>
      </c>
    </row>
    <row r="1618" spans="1:47">
      <c r="A1618" s="4" t="s">
        <v>48</v>
      </c>
      <c r="C1618" s="21"/>
      <c r="D1618" s="22" t="s">
        <v>49</v>
      </c>
      <c r="G1618" s="23">
        <v>45089</v>
      </c>
      <c r="H1618" s="24" t="s">
        <v>4791</v>
      </c>
      <c r="J1618" s="28" t="s">
        <v>51</v>
      </c>
      <c r="L1618" s="24" t="s">
        <v>4792</v>
      </c>
      <c r="M1618" s="1" t="str">
        <f>"342122198205140622"</f>
        <v>342122198205140622</v>
      </c>
      <c r="N1618" s="24" t="s">
        <v>4792</v>
      </c>
      <c r="O1618" s="1" t="str">
        <f>"342122198205140622"</f>
        <v>342122198205140622</v>
      </c>
      <c r="P1618" s="23" t="s">
        <v>4793</v>
      </c>
      <c r="Q1618" s="23">
        <v>45090</v>
      </c>
      <c r="R1618" s="32">
        <v>45456</v>
      </c>
      <c r="V1618" s="33">
        <v>600</v>
      </c>
      <c r="W1618" s="28">
        <v>64.29</v>
      </c>
      <c r="X1618" s="34" t="s">
        <v>54</v>
      </c>
      <c r="Y1618" s="33">
        <v>385.74</v>
      </c>
      <c r="AC1618" s="28">
        <v>64.29</v>
      </c>
      <c r="AD1618" s="34" t="s">
        <v>54</v>
      </c>
      <c r="AE1618" s="33">
        <v>385.74</v>
      </c>
      <c r="AN1618" s="7" t="s">
        <v>54</v>
      </c>
      <c r="AO1618" s="7" t="s">
        <v>55</v>
      </c>
      <c r="AP1618" s="7" t="s">
        <v>56</v>
      </c>
      <c r="AT1618" s="47" t="s">
        <v>57</v>
      </c>
      <c r="AU1618" s="47" t="s">
        <v>57</v>
      </c>
    </row>
    <row r="1619" spans="1:47">
      <c r="A1619" s="4" t="s">
        <v>48</v>
      </c>
      <c r="C1619" s="21"/>
      <c r="D1619" s="22" t="s">
        <v>49</v>
      </c>
      <c r="G1619" s="23">
        <v>45085</v>
      </c>
      <c r="H1619" s="24" t="s">
        <v>4794</v>
      </c>
      <c r="J1619" s="28" t="s">
        <v>51</v>
      </c>
      <c r="L1619" s="24" t="s">
        <v>4795</v>
      </c>
      <c r="M1619" s="1" t="str">
        <f>"130923198902132264"</f>
        <v>130923198902132264</v>
      </c>
      <c r="N1619" s="24" t="s">
        <v>4795</v>
      </c>
      <c r="O1619" s="1" t="str">
        <f>"130923198902132264"</f>
        <v>130923198902132264</v>
      </c>
      <c r="P1619" s="23" t="s">
        <v>4796</v>
      </c>
      <c r="Q1619" s="23">
        <v>45086</v>
      </c>
      <c r="R1619" s="32">
        <v>45452</v>
      </c>
      <c r="V1619" s="33">
        <v>600</v>
      </c>
      <c r="W1619" s="28">
        <v>64.29</v>
      </c>
      <c r="X1619" s="34" t="s">
        <v>54</v>
      </c>
      <c r="Y1619" s="33">
        <v>385.74</v>
      </c>
      <c r="AC1619" s="28">
        <v>64.29</v>
      </c>
      <c r="AD1619" s="34" t="s">
        <v>54</v>
      </c>
      <c r="AE1619" s="33">
        <v>385.74</v>
      </c>
      <c r="AN1619" s="7" t="s">
        <v>54</v>
      </c>
      <c r="AO1619" s="7" t="s">
        <v>55</v>
      </c>
      <c r="AP1619" s="7" t="s">
        <v>56</v>
      </c>
      <c r="AT1619" s="47" t="s">
        <v>57</v>
      </c>
      <c r="AU1619" s="47" t="s">
        <v>57</v>
      </c>
    </row>
    <row r="1620" spans="1:47">
      <c r="A1620" s="4" t="s">
        <v>48</v>
      </c>
      <c r="C1620" s="21"/>
      <c r="D1620" s="22" t="s">
        <v>49</v>
      </c>
      <c r="G1620" s="23">
        <v>45086</v>
      </c>
      <c r="H1620" s="24" t="s">
        <v>4797</v>
      </c>
      <c r="J1620" s="28" t="s">
        <v>51</v>
      </c>
      <c r="L1620" s="24" t="s">
        <v>1433</v>
      </c>
      <c r="M1620" s="1" t="str">
        <f>"342122196411029328"</f>
        <v>342122196411029328</v>
      </c>
      <c r="N1620" s="24" t="s">
        <v>1433</v>
      </c>
      <c r="O1620" s="1" t="str">
        <f>"342122196411029328"</f>
        <v>342122196411029328</v>
      </c>
      <c r="P1620" s="23" t="s">
        <v>4798</v>
      </c>
      <c r="Q1620" s="23">
        <v>45087</v>
      </c>
      <c r="R1620" s="32">
        <v>45453</v>
      </c>
      <c r="V1620" s="33">
        <v>600</v>
      </c>
      <c r="W1620" s="28">
        <v>64.29</v>
      </c>
      <c r="X1620" s="34" t="s">
        <v>54</v>
      </c>
      <c r="Y1620" s="33">
        <v>385.74</v>
      </c>
      <c r="AC1620" s="28">
        <v>64.29</v>
      </c>
      <c r="AD1620" s="34" t="s">
        <v>54</v>
      </c>
      <c r="AE1620" s="33">
        <v>385.74</v>
      </c>
      <c r="AN1620" s="7" t="s">
        <v>54</v>
      </c>
      <c r="AO1620" s="7" t="s">
        <v>55</v>
      </c>
      <c r="AP1620" s="7" t="s">
        <v>56</v>
      </c>
      <c r="AT1620" s="47" t="s">
        <v>57</v>
      </c>
      <c r="AU1620" s="47" t="s">
        <v>57</v>
      </c>
    </row>
    <row r="1621" spans="1:47">
      <c r="A1621" s="4" t="s">
        <v>48</v>
      </c>
      <c r="C1621" s="21"/>
      <c r="D1621" s="22" t="s">
        <v>49</v>
      </c>
      <c r="G1621" s="23">
        <v>45089</v>
      </c>
      <c r="H1621" s="24" t="s">
        <v>4799</v>
      </c>
      <c r="J1621" s="28" t="s">
        <v>51</v>
      </c>
      <c r="L1621" s="24" t="s">
        <v>4800</v>
      </c>
      <c r="M1621" s="1" t="str">
        <f>"230227198812230419"</f>
        <v>230227198812230419</v>
      </c>
      <c r="N1621" s="24" t="s">
        <v>4800</v>
      </c>
      <c r="O1621" s="1" t="str">
        <f>"230227198812230419"</f>
        <v>230227198812230419</v>
      </c>
      <c r="P1621" s="23" t="s">
        <v>4801</v>
      </c>
      <c r="Q1621" s="23">
        <v>45090</v>
      </c>
      <c r="R1621" s="32">
        <v>45456</v>
      </c>
      <c r="V1621" s="33">
        <v>50</v>
      </c>
      <c r="W1621" s="28">
        <v>64.29</v>
      </c>
      <c r="X1621" s="34" t="s">
        <v>54</v>
      </c>
      <c r="Y1621" s="33">
        <v>32.15</v>
      </c>
      <c r="AC1621" s="28">
        <v>64.29</v>
      </c>
      <c r="AD1621" s="34" t="s">
        <v>54</v>
      </c>
      <c r="AE1621" s="33">
        <v>32.15</v>
      </c>
      <c r="AN1621" s="7" t="s">
        <v>54</v>
      </c>
      <c r="AO1621" s="7" t="s">
        <v>55</v>
      </c>
      <c r="AP1621" s="7" t="s">
        <v>56</v>
      </c>
      <c r="AT1621" s="47" t="s">
        <v>57</v>
      </c>
      <c r="AU1621" s="47" t="s">
        <v>57</v>
      </c>
    </row>
    <row r="1622" spans="1:47">
      <c r="A1622" s="4" t="s">
        <v>48</v>
      </c>
      <c r="C1622" s="21"/>
      <c r="D1622" s="22" t="s">
        <v>49</v>
      </c>
      <c r="G1622" s="23">
        <v>45085</v>
      </c>
      <c r="H1622" s="24" t="s">
        <v>4802</v>
      </c>
      <c r="J1622" s="28" t="s">
        <v>51</v>
      </c>
      <c r="L1622" s="24" t="s">
        <v>4803</v>
      </c>
      <c r="M1622" s="1" t="str">
        <f>"132823196411070035"</f>
        <v>132823196411070035</v>
      </c>
      <c r="N1622" s="24" t="s">
        <v>4803</v>
      </c>
      <c r="O1622" s="1" t="str">
        <f>"132823196411070035"</f>
        <v>132823196411070035</v>
      </c>
      <c r="P1622" s="23" t="s">
        <v>4804</v>
      </c>
      <c r="Q1622" s="23">
        <v>45086</v>
      </c>
      <c r="R1622" s="32">
        <v>45452</v>
      </c>
      <c r="V1622" s="33">
        <v>50</v>
      </c>
      <c r="W1622" s="28">
        <v>64.29</v>
      </c>
      <c r="X1622" s="34" t="s">
        <v>54</v>
      </c>
      <c r="Y1622" s="33">
        <v>32.15</v>
      </c>
      <c r="AC1622" s="28">
        <v>64.29</v>
      </c>
      <c r="AD1622" s="34" t="s">
        <v>54</v>
      </c>
      <c r="AE1622" s="33">
        <v>32.15</v>
      </c>
      <c r="AN1622" s="7" t="s">
        <v>54</v>
      </c>
      <c r="AO1622" s="7" t="s">
        <v>55</v>
      </c>
      <c r="AP1622" s="7" t="s">
        <v>56</v>
      </c>
      <c r="AT1622" s="47" t="s">
        <v>57</v>
      </c>
      <c r="AU1622" s="47" t="s">
        <v>57</v>
      </c>
    </row>
    <row r="1623" spans="1:47">
      <c r="A1623" s="4" t="s">
        <v>48</v>
      </c>
      <c r="C1623" s="21"/>
      <c r="D1623" s="22" t="s">
        <v>49</v>
      </c>
      <c r="G1623" s="23">
        <v>45087</v>
      </c>
      <c r="H1623" s="24" t="s">
        <v>4805</v>
      </c>
      <c r="J1623" s="28" t="s">
        <v>51</v>
      </c>
      <c r="L1623" s="24" t="s">
        <v>4806</v>
      </c>
      <c r="M1623" s="1" t="str">
        <f>"342122198004200414"</f>
        <v>342122198004200414</v>
      </c>
      <c r="N1623" s="24" t="s">
        <v>4806</v>
      </c>
      <c r="O1623" s="1" t="str">
        <f>"342122198004200414"</f>
        <v>342122198004200414</v>
      </c>
      <c r="P1623" s="23" t="s">
        <v>4807</v>
      </c>
      <c r="Q1623" s="23">
        <v>45088</v>
      </c>
      <c r="R1623" s="32">
        <v>45454</v>
      </c>
      <c r="V1623" s="33">
        <v>50</v>
      </c>
      <c r="W1623" s="28">
        <v>64.29</v>
      </c>
      <c r="X1623" s="34" t="s">
        <v>54</v>
      </c>
      <c r="Y1623" s="33">
        <v>32.15</v>
      </c>
      <c r="AC1623" s="28">
        <v>64.29</v>
      </c>
      <c r="AD1623" s="34" t="s">
        <v>54</v>
      </c>
      <c r="AE1623" s="33">
        <v>32.15</v>
      </c>
      <c r="AN1623" s="7" t="s">
        <v>54</v>
      </c>
      <c r="AO1623" s="7" t="s">
        <v>55</v>
      </c>
      <c r="AP1623" s="7" t="s">
        <v>56</v>
      </c>
      <c r="AT1623" s="47" t="s">
        <v>57</v>
      </c>
      <c r="AU1623" s="47" t="s">
        <v>57</v>
      </c>
    </row>
    <row r="1624" spans="1:47">
      <c r="A1624" s="4" t="s">
        <v>48</v>
      </c>
      <c r="C1624" s="21"/>
      <c r="D1624" s="22" t="s">
        <v>49</v>
      </c>
      <c r="G1624" s="23">
        <v>45086</v>
      </c>
      <c r="H1624" s="24" t="s">
        <v>4808</v>
      </c>
      <c r="J1624" s="28" t="s">
        <v>51</v>
      </c>
      <c r="L1624" s="24" t="s">
        <v>4809</v>
      </c>
      <c r="M1624" s="1" t="str">
        <f>"120222197008184421"</f>
        <v>120222197008184421</v>
      </c>
      <c r="N1624" s="24" t="s">
        <v>4809</v>
      </c>
      <c r="O1624" s="1" t="str">
        <f>"120222197008184421"</f>
        <v>120222197008184421</v>
      </c>
      <c r="P1624" s="23" t="s">
        <v>4810</v>
      </c>
      <c r="Q1624" s="23">
        <v>45087</v>
      </c>
      <c r="R1624" s="32">
        <v>45453</v>
      </c>
      <c r="V1624" s="33">
        <v>50</v>
      </c>
      <c r="W1624" s="28">
        <v>64.29</v>
      </c>
      <c r="X1624" s="34" t="s">
        <v>54</v>
      </c>
      <c r="Y1624" s="33">
        <v>32.15</v>
      </c>
      <c r="AC1624" s="28">
        <v>64.29</v>
      </c>
      <c r="AD1624" s="34" t="s">
        <v>54</v>
      </c>
      <c r="AE1624" s="33">
        <v>32.15</v>
      </c>
      <c r="AN1624" s="7" t="s">
        <v>54</v>
      </c>
      <c r="AO1624" s="7" t="s">
        <v>55</v>
      </c>
      <c r="AP1624" s="7" t="s">
        <v>56</v>
      </c>
      <c r="AT1624" s="47" t="s">
        <v>57</v>
      </c>
      <c r="AU1624" s="47" t="s">
        <v>57</v>
      </c>
    </row>
    <row r="1625" spans="1:47">
      <c r="A1625" s="4" t="s">
        <v>48</v>
      </c>
      <c r="C1625" s="21"/>
      <c r="D1625" s="22" t="s">
        <v>49</v>
      </c>
      <c r="G1625" s="23">
        <v>45086</v>
      </c>
      <c r="H1625" s="24" t="s">
        <v>4811</v>
      </c>
      <c r="J1625" s="28" t="s">
        <v>51</v>
      </c>
      <c r="L1625" s="24" t="s">
        <v>4812</v>
      </c>
      <c r="M1625" s="1" t="str">
        <f>"372922197606195944"</f>
        <v>372922197606195944</v>
      </c>
      <c r="N1625" s="24" t="s">
        <v>4812</v>
      </c>
      <c r="O1625" s="1" t="str">
        <f>"372922197606195944"</f>
        <v>372922197606195944</v>
      </c>
      <c r="P1625" s="23" t="s">
        <v>4813</v>
      </c>
      <c r="Q1625" s="23">
        <v>45087</v>
      </c>
      <c r="R1625" s="32">
        <v>45453</v>
      </c>
      <c r="V1625" s="33">
        <v>50</v>
      </c>
      <c r="W1625" s="28">
        <v>64.29</v>
      </c>
      <c r="X1625" s="34" t="s">
        <v>54</v>
      </c>
      <c r="Y1625" s="33">
        <v>32.15</v>
      </c>
      <c r="AC1625" s="28">
        <v>64.29</v>
      </c>
      <c r="AD1625" s="34" t="s">
        <v>54</v>
      </c>
      <c r="AE1625" s="33">
        <v>32.15</v>
      </c>
      <c r="AN1625" s="7" t="s">
        <v>54</v>
      </c>
      <c r="AO1625" s="7" t="s">
        <v>55</v>
      </c>
      <c r="AP1625" s="7" t="s">
        <v>56</v>
      </c>
      <c r="AT1625" s="47" t="s">
        <v>57</v>
      </c>
      <c r="AU1625" s="47" t="s">
        <v>57</v>
      </c>
    </row>
    <row r="1626" spans="1:47">
      <c r="A1626" s="4" t="s">
        <v>48</v>
      </c>
      <c r="C1626" s="21"/>
      <c r="D1626" s="22" t="s">
        <v>49</v>
      </c>
      <c r="G1626" s="23">
        <v>45097</v>
      </c>
      <c r="H1626" s="24" t="s">
        <v>4814</v>
      </c>
      <c r="J1626" s="28" t="s">
        <v>51</v>
      </c>
      <c r="L1626" s="24" t="s">
        <v>4815</v>
      </c>
      <c r="M1626" s="1" t="str">
        <f>"131024198908090729"</f>
        <v>131024198908090729</v>
      </c>
      <c r="N1626" s="24" t="s">
        <v>4815</v>
      </c>
      <c r="O1626" s="1" t="str">
        <f>"131024198908090729"</f>
        <v>131024198908090729</v>
      </c>
      <c r="P1626" s="23" t="s">
        <v>4816</v>
      </c>
      <c r="Q1626" s="23">
        <v>45170</v>
      </c>
      <c r="R1626" s="32">
        <v>45536</v>
      </c>
      <c r="V1626" s="33">
        <v>100</v>
      </c>
      <c r="W1626" s="28">
        <v>64.29</v>
      </c>
      <c r="X1626" s="34" t="s">
        <v>54</v>
      </c>
      <c r="Y1626" s="33">
        <v>64.29</v>
      </c>
      <c r="AC1626" s="28">
        <v>64.29</v>
      </c>
      <c r="AD1626" s="34" t="s">
        <v>54</v>
      </c>
      <c r="AE1626" s="33">
        <v>64.29</v>
      </c>
      <c r="AN1626" s="7" t="s">
        <v>54</v>
      </c>
      <c r="AO1626" s="7" t="s">
        <v>55</v>
      </c>
      <c r="AP1626" s="7" t="s">
        <v>56</v>
      </c>
      <c r="AT1626" s="47" t="s">
        <v>57</v>
      </c>
      <c r="AU1626" s="47" t="s">
        <v>57</v>
      </c>
    </row>
    <row r="1627" spans="1:47">
      <c r="A1627" s="4" t="s">
        <v>48</v>
      </c>
      <c r="C1627" s="21"/>
      <c r="D1627" s="22" t="s">
        <v>49</v>
      </c>
      <c r="G1627" s="23">
        <v>45098</v>
      </c>
      <c r="H1627" s="24" t="s">
        <v>4817</v>
      </c>
      <c r="J1627" s="28" t="s">
        <v>51</v>
      </c>
      <c r="L1627" s="24" t="s">
        <v>4818</v>
      </c>
      <c r="M1627" s="1" t="str">
        <f>"342122196310080044"</f>
        <v>342122196310080044</v>
      </c>
      <c r="N1627" s="24" t="s">
        <v>4818</v>
      </c>
      <c r="O1627" s="1" t="str">
        <f>"342122196310080044"</f>
        <v>342122196310080044</v>
      </c>
      <c r="P1627" s="23" t="s">
        <v>4819</v>
      </c>
      <c r="Q1627" s="23">
        <v>45099</v>
      </c>
      <c r="R1627" s="32">
        <v>45465</v>
      </c>
      <c r="V1627" s="33">
        <v>100</v>
      </c>
      <c r="W1627" s="28">
        <v>64.29</v>
      </c>
      <c r="X1627" s="34" t="s">
        <v>54</v>
      </c>
      <c r="Y1627" s="33">
        <v>64.29</v>
      </c>
      <c r="AC1627" s="28">
        <v>64.29</v>
      </c>
      <c r="AD1627" s="34" t="s">
        <v>54</v>
      </c>
      <c r="AE1627" s="33">
        <v>64.29</v>
      </c>
      <c r="AN1627" s="7" t="s">
        <v>54</v>
      </c>
      <c r="AO1627" s="7" t="s">
        <v>55</v>
      </c>
      <c r="AP1627" s="7" t="s">
        <v>56</v>
      </c>
      <c r="AT1627" s="47" t="s">
        <v>57</v>
      </c>
      <c r="AU1627" s="47" t="s">
        <v>57</v>
      </c>
    </row>
    <row r="1628" spans="1:47">
      <c r="A1628" s="4" t="s">
        <v>48</v>
      </c>
      <c r="C1628" s="21"/>
      <c r="D1628" s="22" t="s">
        <v>49</v>
      </c>
      <c r="G1628" s="23">
        <v>45097</v>
      </c>
      <c r="H1628" s="24" t="s">
        <v>4820</v>
      </c>
      <c r="J1628" s="28" t="s">
        <v>51</v>
      </c>
      <c r="L1628" s="24" t="s">
        <v>4821</v>
      </c>
      <c r="M1628" s="1" t="str">
        <f>"132823197707230012"</f>
        <v>132823197707230012</v>
      </c>
      <c r="N1628" s="24" t="s">
        <v>4821</v>
      </c>
      <c r="O1628" s="1" t="str">
        <f>"132823197707230012"</f>
        <v>132823197707230012</v>
      </c>
      <c r="P1628" s="23" t="s">
        <v>4822</v>
      </c>
      <c r="Q1628" s="23">
        <v>45098</v>
      </c>
      <c r="R1628" s="32">
        <v>45464</v>
      </c>
      <c r="V1628" s="33">
        <v>100</v>
      </c>
      <c r="W1628" s="28">
        <v>64.29</v>
      </c>
      <c r="X1628" s="34" t="s">
        <v>54</v>
      </c>
      <c r="Y1628" s="33">
        <v>64.29</v>
      </c>
      <c r="AC1628" s="28">
        <v>64.29</v>
      </c>
      <c r="AD1628" s="34" t="s">
        <v>54</v>
      </c>
      <c r="AE1628" s="33">
        <v>64.29</v>
      </c>
      <c r="AN1628" s="7" t="s">
        <v>54</v>
      </c>
      <c r="AO1628" s="7" t="s">
        <v>55</v>
      </c>
      <c r="AP1628" s="7" t="s">
        <v>56</v>
      </c>
      <c r="AT1628" s="47" t="s">
        <v>57</v>
      </c>
      <c r="AU1628" s="47" t="s">
        <v>57</v>
      </c>
    </row>
    <row r="1629" spans="1:47">
      <c r="A1629" s="4" t="s">
        <v>48</v>
      </c>
      <c r="C1629" s="21"/>
      <c r="D1629" s="22" t="s">
        <v>49</v>
      </c>
      <c r="G1629" s="23">
        <v>45097</v>
      </c>
      <c r="H1629" s="24" t="s">
        <v>4823</v>
      </c>
      <c r="J1629" s="28" t="s">
        <v>51</v>
      </c>
      <c r="L1629" s="24" t="s">
        <v>4824</v>
      </c>
      <c r="M1629" s="1" t="str">
        <f>"341221198710014262"</f>
        <v>341221198710014262</v>
      </c>
      <c r="N1629" s="24" t="s">
        <v>4824</v>
      </c>
      <c r="O1629" s="1" t="str">
        <f>"341221198710014262"</f>
        <v>341221198710014262</v>
      </c>
      <c r="P1629" s="23" t="s">
        <v>4825</v>
      </c>
      <c r="Q1629" s="23">
        <v>45197</v>
      </c>
      <c r="R1629" s="32">
        <v>45563</v>
      </c>
      <c r="V1629" s="33">
        <v>100</v>
      </c>
      <c r="W1629" s="28">
        <v>64.29</v>
      </c>
      <c r="X1629" s="34" t="s">
        <v>54</v>
      </c>
      <c r="Y1629" s="33">
        <v>64.29</v>
      </c>
      <c r="AC1629" s="28">
        <v>64.29</v>
      </c>
      <c r="AD1629" s="34" t="s">
        <v>54</v>
      </c>
      <c r="AE1629" s="33">
        <v>64.29</v>
      </c>
      <c r="AN1629" s="7" t="s">
        <v>54</v>
      </c>
      <c r="AO1629" s="7" t="s">
        <v>55</v>
      </c>
      <c r="AP1629" s="7" t="s">
        <v>56</v>
      </c>
      <c r="AT1629" s="47" t="s">
        <v>57</v>
      </c>
      <c r="AU1629" s="47" t="s">
        <v>57</v>
      </c>
    </row>
    <row r="1630" spans="1:47">
      <c r="A1630" s="4" t="s">
        <v>48</v>
      </c>
      <c r="C1630" s="21"/>
      <c r="D1630" s="22" t="s">
        <v>49</v>
      </c>
      <c r="G1630" s="23">
        <v>45089</v>
      </c>
      <c r="H1630" s="24" t="s">
        <v>4826</v>
      </c>
      <c r="J1630" s="28" t="s">
        <v>51</v>
      </c>
      <c r="L1630" s="24" t="s">
        <v>4827</v>
      </c>
      <c r="M1630" s="1" t="str">
        <f>"132823197707230012"</f>
        <v>132823197707230012</v>
      </c>
      <c r="N1630" s="24" t="s">
        <v>4827</v>
      </c>
      <c r="O1630" s="1" t="str">
        <f>"132823197707230012"</f>
        <v>132823197707230012</v>
      </c>
      <c r="P1630" s="23" t="s">
        <v>4822</v>
      </c>
      <c r="Q1630" s="23">
        <v>45212</v>
      </c>
      <c r="R1630" s="32">
        <v>45578</v>
      </c>
      <c r="V1630" s="33">
        <v>100</v>
      </c>
      <c r="W1630" s="28">
        <v>64.29</v>
      </c>
      <c r="X1630" s="34" t="s">
        <v>54</v>
      </c>
      <c r="Y1630" s="33">
        <v>64.29</v>
      </c>
      <c r="AC1630" s="28">
        <v>64.29</v>
      </c>
      <c r="AD1630" s="34" t="s">
        <v>54</v>
      </c>
      <c r="AE1630" s="33">
        <v>64.29</v>
      </c>
      <c r="AN1630" s="7" t="s">
        <v>54</v>
      </c>
      <c r="AO1630" s="7" t="s">
        <v>55</v>
      </c>
      <c r="AP1630" s="7" t="s">
        <v>56</v>
      </c>
      <c r="AT1630" s="47" t="s">
        <v>57</v>
      </c>
      <c r="AU1630" s="47" t="s">
        <v>57</v>
      </c>
    </row>
    <row r="1631" spans="1:47">
      <c r="A1631" s="4" t="s">
        <v>48</v>
      </c>
      <c r="C1631" s="21"/>
      <c r="D1631" s="22" t="s">
        <v>49</v>
      </c>
      <c r="G1631" s="23">
        <v>45089</v>
      </c>
      <c r="H1631" s="24" t="s">
        <v>4828</v>
      </c>
      <c r="J1631" s="28" t="s">
        <v>51</v>
      </c>
      <c r="L1631" s="24" t="s">
        <v>4829</v>
      </c>
      <c r="M1631" s="1" t="str">
        <f>"341204195809201412"</f>
        <v>341204195809201412</v>
      </c>
      <c r="N1631" s="24" t="s">
        <v>4829</v>
      </c>
      <c r="O1631" s="1" t="str">
        <f>"341204195809201412"</f>
        <v>341204195809201412</v>
      </c>
      <c r="P1631" s="23" t="s">
        <v>4830</v>
      </c>
      <c r="Q1631" s="23">
        <v>45181</v>
      </c>
      <c r="R1631" s="32">
        <v>45547</v>
      </c>
      <c r="V1631" s="33">
        <v>100</v>
      </c>
      <c r="W1631" s="28">
        <v>64.29</v>
      </c>
      <c r="X1631" s="34" t="s">
        <v>54</v>
      </c>
      <c r="Y1631" s="33">
        <v>64.29</v>
      </c>
      <c r="AC1631" s="28">
        <v>64.29</v>
      </c>
      <c r="AD1631" s="34" t="s">
        <v>54</v>
      </c>
      <c r="AE1631" s="33">
        <v>64.29</v>
      </c>
      <c r="AN1631" s="7" t="s">
        <v>54</v>
      </c>
      <c r="AO1631" s="7" t="s">
        <v>55</v>
      </c>
      <c r="AP1631" s="7" t="s">
        <v>56</v>
      </c>
      <c r="AT1631" s="47" t="s">
        <v>57</v>
      </c>
      <c r="AU1631" s="47" t="s">
        <v>57</v>
      </c>
    </row>
    <row r="1632" spans="1:47">
      <c r="A1632" s="4" t="s">
        <v>48</v>
      </c>
      <c r="C1632" s="21"/>
      <c r="D1632" s="22" t="s">
        <v>49</v>
      </c>
      <c r="G1632" s="23">
        <v>45075</v>
      </c>
      <c r="H1632" s="24" t="s">
        <v>4831</v>
      </c>
      <c r="J1632" s="28" t="s">
        <v>51</v>
      </c>
      <c r="L1632" s="24" t="s">
        <v>4832</v>
      </c>
      <c r="M1632" s="1" t="str">
        <f>"341221197408130217"</f>
        <v>341221197408130217</v>
      </c>
      <c r="N1632" s="24" t="s">
        <v>4832</v>
      </c>
      <c r="O1632" s="1" t="str">
        <f>"341221197408130217"</f>
        <v>341221197408130217</v>
      </c>
      <c r="P1632" s="23" t="s">
        <v>4833</v>
      </c>
      <c r="Q1632" s="23">
        <v>45168</v>
      </c>
      <c r="R1632" s="32">
        <v>45534</v>
      </c>
      <c r="V1632" s="33">
        <v>100</v>
      </c>
      <c r="W1632" s="28">
        <v>64.29</v>
      </c>
      <c r="X1632" s="34" t="s">
        <v>54</v>
      </c>
      <c r="Y1632" s="33">
        <v>64.29</v>
      </c>
      <c r="AC1632" s="28">
        <v>64.29</v>
      </c>
      <c r="AD1632" s="34" t="s">
        <v>54</v>
      </c>
      <c r="AE1632" s="33">
        <v>64.29</v>
      </c>
      <c r="AN1632" s="7" t="s">
        <v>54</v>
      </c>
      <c r="AO1632" s="7" t="s">
        <v>55</v>
      </c>
      <c r="AP1632" s="7" t="s">
        <v>56</v>
      </c>
      <c r="AT1632" s="47" t="s">
        <v>57</v>
      </c>
      <c r="AU1632" s="47" t="s">
        <v>57</v>
      </c>
    </row>
    <row r="1633" spans="1:47">
      <c r="A1633" s="4" t="s">
        <v>48</v>
      </c>
      <c r="C1633" s="21"/>
      <c r="D1633" s="22" t="s">
        <v>49</v>
      </c>
      <c r="G1633" s="23">
        <v>45075</v>
      </c>
      <c r="H1633" s="24" t="s">
        <v>4834</v>
      </c>
      <c r="J1633" s="28" t="s">
        <v>51</v>
      </c>
      <c r="L1633" s="24" t="s">
        <v>4835</v>
      </c>
      <c r="M1633" s="1" t="str">
        <f>"120113199002093614"</f>
        <v>120113199002093614</v>
      </c>
      <c r="N1633" s="24" t="s">
        <v>4835</v>
      </c>
      <c r="O1633" s="1" t="str">
        <f>"120113199002093614"</f>
        <v>120113199002093614</v>
      </c>
      <c r="P1633" s="23" t="s">
        <v>4836</v>
      </c>
      <c r="Q1633" s="23">
        <v>45076</v>
      </c>
      <c r="R1633" s="32">
        <v>45442</v>
      </c>
      <c r="V1633" s="33">
        <v>100</v>
      </c>
      <c r="W1633" s="28">
        <v>64.29</v>
      </c>
      <c r="X1633" s="34" t="s">
        <v>54</v>
      </c>
      <c r="Y1633" s="33">
        <v>64.29</v>
      </c>
      <c r="AC1633" s="28">
        <v>64.29</v>
      </c>
      <c r="AD1633" s="34" t="s">
        <v>54</v>
      </c>
      <c r="AE1633" s="33">
        <v>64.29</v>
      </c>
      <c r="AN1633" s="7" t="s">
        <v>54</v>
      </c>
      <c r="AO1633" s="7" t="s">
        <v>55</v>
      </c>
      <c r="AP1633" s="7" t="s">
        <v>56</v>
      </c>
      <c r="AT1633" s="47" t="s">
        <v>57</v>
      </c>
      <c r="AU1633" s="47" t="s">
        <v>57</v>
      </c>
    </row>
    <row r="1634" spans="1:47">
      <c r="A1634" s="4" t="s">
        <v>48</v>
      </c>
      <c r="C1634" s="21"/>
      <c r="D1634" s="22" t="s">
        <v>49</v>
      </c>
      <c r="G1634" s="23">
        <v>45086</v>
      </c>
      <c r="H1634" s="24" t="s">
        <v>4837</v>
      </c>
      <c r="J1634" s="28" t="s">
        <v>51</v>
      </c>
      <c r="L1634" s="24" t="s">
        <v>4838</v>
      </c>
      <c r="M1634" s="1" t="str">
        <f>"110226195805171441"</f>
        <v>110226195805171441</v>
      </c>
      <c r="N1634" s="24" t="s">
        <v>4838</v>
      </c>
      <c r="O1634" s="1" t="str">
        <f>"110226195805171441"</f>
        <v>110226195805171441</v>
      </c>
      <c r="P1634" s="23" t="s">
        <v>4839</v>
      </c>
      <c r="Q1634" s="23">
        <v>45087</v>
      </c>
      <c r="R1634" s="32">
        <v>45453</v>
      </c>
      <c r="V1634" s="33">
        <v>600</v>
      </c>
      <c r="W1634" s="28">
        <v>64.29</v>
      </c>
      <c r="X1634" s="34" t="s">
        <v>54</v>
      </c>
      <c r="Y1634" s="33">
        <v>385.74</v>
      </c>
      <c r="AC1634" s="28">
        <v>64.29</v>
      </c>
      <c r="AD1634" s="34" t="s">
        <v>54</v>
      </c>
      <c r="AE1634" s="33">
        <v>385.74</v>
      </c>
      <c r="AN1634" s="7" t="s">
        <v>54</v>
      </c>
      <c r="AO1634" s="7" t="s">
        <v>55</v>
      </c>
      <c r="AP1634" s="7" t="s">
        <v>56</v>
      </c>
      <c r="AT1634" s="47" t="s">
        <v>57</v>
      </c>
      <c r="AU1634" s="47" t="s">
        <v>57</v>
      </c>
    </row>
    <row r="1635" spans="1:47">
      <c r="A1635" s="4" t="s">
        <v>48</v>
      </c>
      <c r="C1635" s="21"/>
      <c r="D1635" s="22" t="s">
        <v>49</v>
      </c>
      <c r="G1635" s="23">
        <v>45085</v>
      </c>
      <c r="H1635" s="24" t="s">
        <v>4840</v>
      </c>
      <c r="J1635" s="28" t="s">
        <v>51</v>
      </c>
      <c r="L1635" s="24" t="s">
        <v>4841</v>
      </c>
      <c r="M1635" s="1" t="str">
        <f>"341225199002096025"</f>
        <v>341225199002096025</v>
      </c>
      <c r="N1635" s="24" t="s">
        <v>4841</v>
      </c>
      <c r="O1635" s="1" t="str">
        <f>"341225199002096025"</f>
        <v>341225199002096025</v>
      </c>
      <c r="P1635" s="23" t="s">
        <v>4842</v>
      </c>
      <c r="Q1635" s="23">
        <v>45086</v>
      </c>
      <c r="R1635" s="32">
        <v>45452</v>
      </c>
      <c r="V1635" s="33">
        <v>600</v>
      </c>
      <c r="W1635" s="28">
        <v>64.29</v>
      </c>
      <c r="X1635" s="34" t="s">
        <v>54</v>
      </c>
      <c r="Y1635" s="33">
        <v>385.74</v>
      </c>
      <c r="AC1635" s="28">
        <v>64.29</v>
      </c>
      <c r="AD1635" s="34" t="s">
        <v>54</v>
      </c>
      <c r="AE1635" s="33">
        <v>385.74</v>
      </c>
      <c r="AN1635" s="7" t="s">
        <v>54</v>
      </c>
      <c r="AO1635" s="7" t="s">
        <v>55</v>
      </c>
      <c r="AP1635" s="7" t="s">
        <v>56</v>
      </c>
      <c r="AT1635" s="47" t="s">
        <v>57</v>
      </c>
      <c r="AU1635" s="47" t="s">
        <v>57</v>
      </c>
    </row>
    <row r="1636" spans="1:47">
      <c r="A1636" s="4" t="s">
        <v>48</v>
      </c>
      <c r="C1636" s="21"/>
      <c r="D1636" s="22" t="s">
        <v>49</v>
      </c>
      <c r="G1636" s="23">
        <v>45079</v>
      </c>
      <c r="H1636" s="24" t="s">
        <v>4843</v>
      </c>
      <c r="J1636" s="28" t="s">
        <v>51</v>
      </c>
      <c r="L1636" s="24" t="s">
        <v>4844</v>
      </c>
      <c r="M1636" s="1" t="str">
        <f>"341221198410104127"</f>
        <v>341221198410104127</v>
      </c>
      <c r="N1636" s="24" t="s">
        <v>4844</v>
      </c>
      <c r="O1636" s="1" t="str">
        <f>"341221198410104127"</f>
        <v>341221198410104127</v>
      </c>
      <c r="P1636" s="23" t="s">
        <v>4845</v>
      </c>
      <c r="Q1636" s="23">
        <v>45154</v>
      </c>
      <c r="R1636" s="32">
        <v>45520</v>
      </c>
      <c r="V1636" s="33">
        <v>600</v>
      </c>
      <c r="W1636" s="28">
        <v>64.29</v>
      </c>
      <c r="X1636" s="34" t="s">
        <v>54</v>
      </c>
      <c r="Y1636" s="33">
        <v>385.74</v>
      </c>
      <c r="AC1636" s="28">
        <v>64.29</v>
      </c>
      <c r="AD1636" s="34" t="s">
        <v>54</v>
      </c>
      <c r="AE1636" s="33">
        <v>385.74</v>
      </c>
      <c r="AN1636" s="7" t="s">
        <v>54</v>
      </c>
      <c r="AO1636" s="7" t="s">
        <v>55</v>
      </c>
      <c r="AP1636" s="7" t="s">
        <v>56</v>
      </c>
      <c r="AT1636" s="47" t="s">
        <v>57</v>
      </c>
      <c r="AU1636" s="47" t="s">
        <v>57</v>
      </c>
    </row>
    <row r="1637" spans="1:47">
      <c r="A1637" s="4" t="s">
        <v>48</v>
      </c>
      <c r="C1637" s="21"/>
      <c r="D1637" s="22" t="s">
        <v>49</v>
      </c>
      <c r="G1637" s="23">
        <v>45091</v>
      </c>
      <c r="H1637" s="24" t="s">
        <v>4846</v>
      </c>
      <c r="J1637" s="28" t="s">
        <v>51</v>
      </c>
      <c r="L1637" s="24" t="s">
        <v>4847</v>
      </c>
      <c r="M1637" s="1" t="str">
        <f>"62210319600604002X"</f>
        <v>62210319600604002X</v>
      </c>
      <c r="N1637" s="24" t="s">
        <v>4847</v>
      </c>
      <c r="O1637" s="1" t="str">
        <f>"62210319600604002X"</f>
        <v>62210319600604002X</v>
      </c>
      <c r="P1637" s="23" t="s">
        <v>4848</v>
      </c>
      <c r="Q1637" s="23">
        <v>45092</v>
      </c>
      <c r="R1637" s="32">
        <v>45458</v>
      </c>
      <c r="V1637" s="33">
        <v>1000</v>
      </c>
      <c r="W1637" s="28">
        <v>64.29</v>
      </c>
      <c r="X1637" s="34" t="s">
        <v>54</v>
      </c>
      <c r="Y1637" s="33">
        <v>642.9</v>
      </c>
      <c r="AC1637" s="28">
        <v>64.29</v>
      </c>
      <c r="AD1637" s="34" t="s">
        <v>54</v>
      </c>
      <c r="AE1637" s="33">
        <v>642.9</v>
      </c>
      <c r="AN1637" s="7" t="s">
        <v>54</v>
      </c>
      <c r="AO1637" s="7" t="s">
        <v>55</v>
      </c>
      <c r="AP1637" s="7" t="s">
        <v>56</v>
      </c>
      <c r="AT1637" s="47" t="s">
        <v>57</v>
      </c>
      <c r="AU1637" s="47" t="s">
        <v>57</v>
      </c>
    </row>
    <row r="1638" spans="1:47">
      <c r="A1638" s="4" t="s">
        <v>48</v>
      </c>
      <c r="C1638" s="21"/>
      <c r="D1638" s="22" t="s">
        <v>49</v>
      </c>
      <c r="G1638" s="23">
        <v>45086</v>
      </c>
      <c r="H1638" s="24" t="s">
        <v>4849</v>
      </c>
      <c r="J1638" s="28" t="s">
        <v>51</v>
      </c>
      <c r="L1638" s="24" t="s">
        <v>4850</v>
      </c>
      <c r="M1638" s="1" t="str">
        <f>"341221199212302792"</f>
        <v>341221199212302792</v>
      </c>
      <c r="N1638" s="24" t="s">
        <v>4850</v>
      </c>
      <c r="O1638" s="1" t="str">
        <f>"341221199212302792"</f>
        <v>341221199212302792</v>
      </c>
      <c r="P1638" s="23" t="s">
        <v>4851</v>
      </c>
      <c r="Q1638" s="23">
        <v>45087</v>
      </c>
      <c r="R1638" s="32">
        <v>45453</v>
      </c>
      <c r="V1638" s="33">
        <v>50</v>
      </c>
      <c r="W1638" s="28">
        <v>64.29</v>
      </c>
      <c r="X1638" s="34" t="s">
        <v>54</v>
      </c>
      <c r="Y1638" s="33">
        <v>32.15</v>
      </c>
      <c r="AC1638" s="28">
        <v>64.29</v>
      </c>
      <c r="AD1638" s="34" t="s">
        <v>54</v>
      </c>
      <c r="AE1638" s="33">
        <v>32.15</v>
      </c>
      <c r="AN1638" s="7" t="s">
        <v>54</v>
      </c>
      <c r="AO1638" s="7" t="s">
        <v>55</v>
      </c>
      <c r="AP1638" s="7" t="s">
        <v>56</v>
      </c>
      <c r="AT1638" s="47" t="s">
        <v>57</v>
      </c>
      <c r="AU1638" s="47" t="s">
        <v>57</v>
      </c>
    </row>
    <row r="1639" spans="1:47">
      <c r="A1639" s="4" t="s">
        <v>48</v>
      </c>
      <c r="C1639" s="21"/>
      <c r="D1639" s="22" t="s">
        <v>49</v>
      </c>
      <c r="G1639" s="23">
        <v>45085</v>
      </c>
      <c r="H1639" s="24" t="s">
        <v>4852</v>
      </c>
      <c r="J1639" s="28" t="s">
        <v>51</v>
      </c>
      <c r="L1639" s="24" t="s">
        <v>4853</v>
      </c>
      <c r="M1639" s="1" t="str">
        <f>"341221199108122302"</f>
        <v>341221199108122302</v>
      </c>
      <c r="N1639" s="24" t="s">
        <v>4853</v>
      </c>
      <c r="O1639" s="1" t="str">
        <f>"341221199108122302"</f>
        <v>341221199108122302</v>
      </c>
      <c r="P1639" s="23" t="s">
        <v>4854</v>
      </c>
      <c r="Q1639" s="23">
        <v>45086</v>
      </c>
      <c r="R1639" s="32">
        <v>45452</v>
      </c>
      <c r="V1639" s="33">
        <v>50</v>
      </c>
      <c r="W1639" s="28">
        <v>64.29</v>
      </c>
      <c r="X1639" s="34" t="s">
        <v>54</v>
      </c>
      <c r="Y1639" s="33">
        <v>32.15</v>
      </c>
      <c r="AC1639" s="28">
        <v>64.29</v>
      </c>
      <c r="AD1639" s="34" t="s">
        <v>54</v>
      </c>
      <c r="AE1639" s="33">
        <v>32.15</v>
      </c>
      <c r="AN1639" s="7" t="s">
        <v>54</v>
      </c>
      <c r="AO1639" s="7" t="s">
        <v>55</v>
      </c>
      <c r="AP1639" s="7" t="s">
        <v>56</v>
      </c>
      <c r="AT1639" s="47" t="s">
        <v>57</v>
      </c>
      <c r="AU1639" s="47" t="s">
        <v>57</v>
      </c>
    </row>
    <row r="1640" spans="1:47">
      <c r="A1640" s="4" t="s">
        <v>48</v>
      </c>
      <c r="C1640" s="21"/>
      <c r="D1640" s="22" t="s">
        <v>49</v>
      </c>
      <c r="G1640" s="23">
        <v>45086</v>
      </c>
      <c r="H1640" s="24" t="s">
        <v>4855</v>
      </c>
      <c r="J1640" s="28" t="s">
        <v>51</v>
      </c>
      <c r="L1640" s="24" t="s">
        <v>2835</v>
      </c>
      <c r="M1640" s="1" t="str">
        <f>"34212219420708630X"</f>
        <v>34212219420708630X</v>
      </c>
      <c r="N1640" s="24" t="s">
        <v>2835</v>
      </c>
      <c r="O1640" s="1" t="str">
        <f>"34212219420708630X"</f>
        <v>34212219420708630X</v>
      </c>
      <c r="P1640" s="23" t="s">
        <v>4856</v>
      </c>
      <c r="Q1640" s="23">
        <v>45087</v>
      </c>
      <c r="R1640" s="32">
        <v>45453</v>
      </c>
      <c r="V1640" s="33">
        <v>50</v>
      </c>
      <c r="W1640" s="28">
        <v>64.29</v>
      </c>
      <c r="X1640" s="34" t="s">
        <v>54</v>
      </c>
      <c r="Y1640" s="33">
        <v>32.15</v>
      </c>
      <c r="AC1640" s="28">
        <v>64.29</v>
      </c>
      <c r="AD1640" s="34" t="s">
        <v>54</v>
      </c>
      <c r="AE1640" s="33">
        <v>32.15</v>
      </c>
      <c r="AN1640" s="7" t="s">
        <v>54</v>
      </c>
      <c r="AO1640" s="7" t="s">
        <v>55</v>
      </c>
      <c r="AP1640" s="7" t="s">
        <v>56</v>
      </c>
      <c r="AT1640" s="47" t="s">
        <v>57</v>
      </c>
      <c r="AU1640" s="47" t="s">
        <v>57</v>
      </c>
    </row>
    <row r="1641" spans="1:47">
      <c r="A1641" s="4" t="s">
        <v>48</v>
      </c>
      <c r="C1641" s="21"/>
      <c r="D1641" s="22" t="s">
        <v>49</v>
      </c>
      <c r="G1641" s="23">
        <v>45086</v>
      </c>
      <c r="H1641" s="24" t="s">
        <v>4857</v>
      </c>
      <c r="J1641" s="28" t="s">
        <v>51</v>
      </c>
      <c r="L1641" s="24" t="s">
        <v>4858</v>
      </c>
      <c r="M1641" s="1" t="str">
        <f>"362334198412030725"</f>
        <v>362334198412030725</v>
      </c>
      <c r="N1641" s="24" t="s">
        <v>4858</v>
      </c>
      <c r="O1641" s="1" t="str">
        <f>"362334198412030725"</f>
        <v>362334198412030725</v>
      </c>
      <c r="P1641" s="23" t="s">
        <v>4859</v>
      </c>
      <c r="Q1641" s="23">
        <v>45087</v>
      </c>
      <c r="R1641" s="32">
        <v>45453</v>
      </c>
      <c r="V1641" s="33">
        <v>50</v>
      </c>
      <c r="W1641" s="28">
        <v>64.29</v>
      </c>
      <c r="X1641" s="34" t="s">
        <v>54</v>
      </c>
      <c r="Y1641" s="33">
        <v>32.15</v>
      </c>
      <c r="AC1641" s="28">
        <v>64.29</v>
      </c>
      <c r="AD1641" s="34" t="s">
        <v>54</v>
      </c>
      <c r="AE1641" s="33">
        <v>32.15</v>
      </c>
      <c r="AN1641" s="7" t="s">
        <v>54</v>
      </c>
      <c r="AO1641" s="7" t="s">
        <v>55</v>
      </c>
      <c r="AP1641" s="7" t="s">
        <v>56</v>
      </c>
      <c r="AT1641" s="47" t="s">
        <v>57</v>
      </c>
      <c r="AU1641" s="47" t="s">
        <v>57</v>
      </c>
    </row>
    <row r="1642" spans="1:47">
      <c r="A1642" s="4" t="s">
        <v>48</v>
      </c>
      <c r="C1642" s="21"/>
      <c r="D1642" s="22" t="s">
        <v>49</v>
      </c>
      <c r="G1642" s="23">
        <v>45085</v>
      </c>
      <c r="H1642" s="24" t="s">
        <v>4860</v>
      </c>
      <c r="J1642" s="28" t="s">
        <v>51</v>
      </c>
      <c r="L1642" s="24" t="s">
        <v>4861</v>
      </c>
      <c r="M1642" s="1" t="str">
        <f>"341221197710104685"</f>
        <v>341221197710104685</v>
      </c>
      <c r="N1642" s="24" t="s">
        <v>4861</v>
      </c>
      <c r="O1642" s="1" t="str">
        <f>"341221197710104685"</f>
        <v>341221197710104685</v>
      </c>
      <c r="P1642" s="23" t="s">
        <v>4862</v>
      </c>
      <c r="Q1642" s="23">
        <v>45086</v>
      </c>
      <c r="R1642" s="32">
        <v>45452</v>
      </c>
      <c r="V1642" s="33">
        <v>50</v>
      </c>
      <c r="W1642" s="28">
        <v>64.29</v>
      </c>
      <c r="X1642" s="34" t="s">
        <v>54</v>
      </c>
      <c r="Y1642" s="33">
        <v>32.15</v>
      </c>
      <c r="AC1642" s="28">
        <v>64.29</v>
      </c>
      <c r="AD1642" s="34" t="s">
        <v>54</v>
      </c>
      <c r="AE1642" s="33">
        <v>32.15</v>
      </c>
      <c r="AN1642" s="7" t="s">
        <v>54</v>
      </c>
      <c r="AO1642" s="7" t="s">
        <v>55</v>
      </c>
      <c r="AP1642" s="7" t="s">
        <v>56</v>
      </c>
      <c r="AT1642" s="47" t="s">
        <v>57</v>
      </c>
      <c r="AU1642" s="47" t="s">
        <v>57</v>
      </c>
    </row>
    <row r="1643" spans="1:47">
      <c r="A1643" s="4" t="s">
        <v>48</v>
      </c>
      <c r="C1643" s="21"/>
      <c r="D1643" s="22" t="s">
        <v>49</v>
      </c>
      <c r="G1643" s="23">
        <v>45088</v>
      </c>
      <c r="H1643" s="24" t="s">
        <v>4863</v>
      </c>
      <c r="J1643" s="28" t="s">
        <v>51</v>
      </c>
      <c r="L1643" s="24" t="s">
        <v>4864</v>
      </c>
      <c r="M1643" s="1" t="str">
        <f>"341221199210224639"</f>
        <v>341221199210224639</v>
      </c>
      <c r="N1643" s="24" t="s">
        <v>4864</v>
      </c>
      <c r="O1643" s="1" t="str">
        <f>"341221199210224639"</f>
        <v>341221199210224639</v>
      </c>
      <c r="P1643" s="23" t="s">
        <v>4865</v>
      </c>
      <c r="Q1643" s="23">
        <v>45089</v>
      </c>
      <c r="R1643" s="32">
        <v>45455</v>
      </c>
      <c r="V1643" s="33">
        <v>50</v>
      </c>
      <c r="W1643" s="28">
        <v>64.29</v>
      </c>
      <c r="X1643" s="34" t="s">
        <v>54</v>
      </c>
      <c r="Y1643" s="33">
        <v>32.15</v>
      </c>
      <c r="AC1643" s="28">
        <v>64.29</v>
      </c>
      <c r="AD1643" s="34" t="s">
        <v>54</v>
      </c>
      <c r="AE1643" s="33">
        <v>32.15</v>
      </c>
      <c r="AN1643" s="7" t="s">
        <v>54</v>
      </c>
      <c r="AO1643" s="7" t="s">
        <v>55</v>
      </c>
      <c r="AP1643" s="7" t="s">
        <v>56</v>
      </c>
      <c r="AT1643" s="47" t="s">
        <v>57</v>
      </c>
      <c r="AU1643" s="47" t="s">
        <v>57</v>
      </c>
    </row>
    <row r="1644" spans="1:47">
      <c r="A1644" s="4" t="s">
        <v>48</v>
      </c>
      <c r="C1644" s="21"/>
      <c r="D1644" s="22" t="s">
        <v>49</v>
      </c>
      <c r="G1644" s="23">
        <v>45086</v>
      </c>
      <c r="H1644" s="24" t="s">
        <v>4866</v>
      </c>
      <c r="J1644" s="28" t="s">
        <v>51</v>
      </c>
      <c r="L1644" s="24" t="s">
        <v>4867</v>
      </c>
      <c r="M1644" s="1" t="str">
        <f>"341202198101163538"</f>
        <v>341202198101163538</v>
      </c>
      <c r="N1644" s="24" t="s">
        <v>4867</v>
      </c>
      <c r="O1644" s="1" t="str">
        <f>"341202198101163538"</f>
        <v>341202198101163538</v>
      </c>
      <c r="P1644" s="23" t="s">
        <v>4868</v>
      </c>
      <c r="Q1644" s="23">
        <v>45087</v>
      </c>
      <c r="R1644" s="32">
        <v>45453</v>
      </c>
      <c r="V1644" s="33">
        <v>50</v>
      </c>
      <c r="W1644" s="28">
        <v>64.29</v>
      </c>
      <c r="X1644" s="34" t="s">
        <v>54</v>
      </c>
      <c r="Y1644" s="33">
        <v>32.15</v>
      </c>
      <c r="AC1644" s="28">
        <v>64.29</v>
      </c>
      <c r="AD1644" s="34" t="s">
        <v>54</v>
      </c>
      <c r="AE1644" s="33">
        <v>32.15</v>
      </c>
      <c r="AN1644" s="7" t="s">
        <v>54</v>
      </c>
      <c r="AO1644" s="7" t="s">
        <v>55</v>
      </c>
      <c r="AP1644" s="7" t="s">
        <v>56</v>
      </c>
      <c r="AT1644" s="47" t="s">
        <v>57</v>
      </c>
      <c r="AU1644" s="47" t="s">
        <v>57</v>
      </c>
    </row>
    <row r="1645" spans="1:47">
      <c r="A1645" s="4" t="s">
        <v>48</v>
      </c>
      <c r="C1645" s="21"/>
      <c r="D1645" s="22" t="s">
        <v>49</v>
      </c>
      <c r="G1645" s="23">
        <v>45085</v>
      </c>
      <c r="H1645" s="24" t="s">
        <v>4869</v>
      </c>
      <c r="J1645" s="28" t="s">
        <v>51</v>
      </c>
      <c r="L1645" s="24" t="s">
        <v>4870</v>
      </c>
      <c r="M1645" s="1" t="str">
        <f>"341203196610280924"</f>
        <v>341203196610280924</v>
      </c>
      <c r="N1645" s="24" t="s">
        <v>4870</v>
      </c>
      <c r="O1645" s="1" t="str">
        <f>"341203196610280924"</f>
        <v>341203196610280924</v>
      </c>
      <c r="P1645" s="23" t="s">
        <v>4871</v>
      </c>
      <c r="Q1645" s="23">
        <v>45086</v>
      </c>
      <c r="R1645" s="32">
        <v>45452</v>
      </c>
      <c r="V1645" s="33">
        <v>50</v>
      </c>
      <c r="W1645" s="28">
        <v>64.29</v>
      </c>
      <c r="X1645" s="34" t="s">
        <v>54</v>
      </c>
      <c r="Y1645" s="33">
        <v>32.15</v>
      </c>
      <c r="AC1645" s="28">
        <v>64.29</v>
      </c>
      <c r="AD1645" s="34" t="s">
        <v>54</v>
      </c>
      <c r="AE1645" s="33">
        <v>32.15</v>
      </c>
      <c r="AN1645" s="7" t="s">
        <v>54</v>
      </c>
      <c r="AO1645" s="7" t="s">
        <v>55</v>
      </c>
      <c r="AP1645" s="7" t="s">
        <v>56</v>
      </c>
      <c r="AT1645" s="47" t="s">
        <v>57</v>
      </c>
      <c r="AU1645" s="47" t="s">
        <v>57</v>
      </c>
    </row>
    <row r="1646" spans="1:47">
      <c r="A1646" s="4" t="s">
        <v>48</v>
      </c>
      <c r="C1646" s="21"/>
      <c r="D1646" s="22" t="s">
        <v>49</v>
      </c>
      <c r="G1646" s="23">
        <v>45098</v>
      </c>
      <c r="H1646" s="24" t="s">
        <v>4872</v>
      </c>
      <c r="J1646" s="28" t="s">
        <v>51</v>
      </c>
      <c r="L1646" s="24" t="s">
        <v>4873</v>
      </c>
      <c r="M1646" s="1" t="str">
        <f>"341203199403170320"</f>
        <v>341203199403170320</v>
      </c>
      <c r="N1646" s="24" t="s">
        <v>4873</v>
      </c>
      <c r="O1646" s="1" t="str">
        <f>"341203199403170320"</f>
        <v>341203199403170320</v>
      </c>
      <c r="P1646" s="23" t="s">
        <v>4874</v>
      </c>
      <c r="Q1646" s="23">
        <v>45099</v>
      </c>
      <c r="R1646" s="32">
        <v>45465</v>
      </c>
      <c r="V1646" s="33">
        <v>100</v>
      </c>
      <c r="W1646" s="28">
        <v>64.29</v>
      </c>
      <c r="X1646" s="34" t="s">
        <v>54</v>
      </c>
      <c r="Y1646" s="33">
        <v>64.29</v>
      </c>
      <c r="AC1646" s="28">
        <v>64.29</v>
      </c>
      <c r="AD1646" s="34" t="s">
        <v>54</v>
      </c>
      <c r="AE1646" s="33">
        <v>64.29</v>
      </c>
      <c r="AN1646" s="7" t="s">
        <v>54</v>
      </c>
      <c r="AO1646" s="7" t="s">
        <v>55</v>
      </c>
      <c r="AP1646" s="7" t="s">
        <v>56</v>
      </c>
      <c r="AT1646" s="47" t="s">
        <v>57</v>
      </c>
      <c r="AU1646" s="47" t="s">
        <v>57</v>
      </c>
    </row>
    <row r="1647" spans="1:47">
      <c r="A1647" s="4" t="s">
        <v>48</v>
      </c>
      <c r="C1647" s="21"/>
      <c r="D1647" s="22" t="s">
        <v>49</v>
      </c>
      <c r="G1647" s="23">
        <v>45089</v>
      </c>
      <c r="H1647" s="24" t="s">
        <v>4875</v>
      </c>
      <c r="J1647" s="28" t="s">
        <v>51</v>
      </c>
      <c r="L1647" s="24" t="s">
        <v>4876</v>
      </c>
      <c r="M1647" s="1" t="str">
        <f>"341202198301011782"</f>
        <v>341202198301011782</v>
      </c>
      <c r="N1647" s="24" t="s">
        <v>4876</v>
      </c>
      <c r="O1647" s="1" t="str">
        <f>"341202198301011782"</f>
        <v>341202198301011782</v>
      </c>
      <c r="P1647" s="23" t="s">
        <v>4877</v>
      </c>
      <c r="Q1647" s="23">
        <v>45213</v>
      </c>
      <c r="R1647" s="32">
        <v>45579</v>
      </c>
      <c r="V1647" s="33">
        <v>100</v>
      </c>
      <c r="W1647" s="28">
        <v>64.29</v>
      </c>
      <c r="X1647" s="34" t="s">
        <v>54</v>
      </c>
      <c r="Y1647" s="33">
        <v>64.29</v>
      </c>
      <c r="AC1647" s="28">
        <v>64.29</v>
      </c>
      <c r="AD1647" s="34" t="s">
        <v>54</v>
      </c>
      <c r="AE1647" s="33">
        <v>64.29</v>
      </c>
      <c r="AN1647" s="7" t="s">
        <v>54</v>
      </c>
      <c r="AO1647" s="7" t="s">
        <v>55</v>
      </c>
      <c r="AP1647" s="7" t="s">
        <v>56</v>
      </c>
      <c r="AT1647" s="47" t="s">
        <v>57</v>
      </c>
      <c r="AU1647" s="47" t="s">
        <v>57</v>
      </c>
    </row>
    <row r="1648" spans="1:47">
      <c r="A1648" s="4" t="s">
        <v>48</v>
      </c>
      <c r="C1648" s="21"/>
      <c r="D1648" s="22" t="s">
        <v>49</v>
      </c>
      <c r="G1648" s="23">
        <v>45086</v>
      </c>
      <c r="H1648" s="24" t="s">
        <v>4878</v>
      </c>
      <c r="J1648" s="28" t="s">
        <v>51</v>
      </c>
      <c r="L1648" s="24" t="s">
        <v>2653</v>
      </c>
      <c r="M1648" s="1" t="str">
        <f>"341202199303163581"</f>
        <v>341202199303163581</v>
      </c>
      <c r="N1648" s="24" t="s">
        <v>2653</v>
      </c>
      <c r="O1648" s="1" t="str">
        <f>"341202199303163581"</f>
        <v>341202199303163581</v>
      </c>
      <c r="P1648" s="23" t="s">
        <v>4879</v>
      </c>
      <c r="Q1648" s="23">
        <v>45291</v>
      </c>
      <c r="R1648" s="32">
        <v>45657</v>
      </c>
      <c r="V1648" s="33">
        <v>100</v>
      </c>
      <c r="W1648" s="28">
        <v>64.29</v>
      </c>
      <c r="X1648" s="34" t="s">
        <v>54</v>
      </c>
      <c r="Y1648" s="33">
        <v>64.29</v>
      </c>
      <c r="AC1648" s="28">
        <v>64.29</v>
      </c>
      <c r="AD1648" s="34" t="s">
        <v>54</v>
      </c>
      <c r="AE1648" s="33">
        <v>64.29</v>
      </c>
      <c r="AN1648" s="7" t="s">
        <v>54</v>
      </c>
      <c r="AO1648" s="7" t="s">
        <v>55</v>
      </c>
      <c r="AP1648" s="7" t="s">
        <v>56</v>
      </c>
      <c r="AT1648" s="47" t="s">
        <v>57</v>
      </c>
      <c r="AU1648" s="47" t="s">
        <v>57</v>
      </c>
    </row>
    <row r="1649" spans="1:47">
      <c r="A1649" s="4" t="s">
        <v>48</v>
      </c>
      <c r="C1649" s="21"/>
      <c r="D1649" s="22" t="s">
        <v>49</v>
      </c>
      <c r="G1649" s="23">
        <v>45086</v>
      </c>
      <c r="H1649" s="24" t="s">
        <v>4880</v>
      </c>
      <c r="J1649" s="28" t="s">
        <v>51</v>
      </c>
      <c r="L1649" s="24" t="s">
        <v>4881</v>
      </c>
      <c r="M1649" s="1" t="str">
        <f>"341221196704202575"</f>
        <v>341221196704202575</v>
      </c>
      <c r="N1649" s="24" t="s">
        <v>4881</v>
      </c>
      <c r="O1649" s="1" t="str">
        <f>"341221196704202575"</f>
        <v>341221196704202575</v>
      </c>
      <c r="P1649" s="23" t="s">
        <v>4882</v>
      </c>
      <c r="Q1649" s="23">
        <v>45270</v>
      </c>
      <c r="R1649" s="32">
        <v>45636</v>
      </c>
      <c r="V1649" s="33">
        <v>100</v>
      </c>
      <c r="W1649" s="28">
        <v>64.29</v>
      </c>
      <c r="X1649" s="34" t="s">
        <v>54</v>
      </c>
      <c r="Y1649" s="33">
        <v>64.29</v>
      </c>
      <c r="AC1649" s="28">
        <v>64.29</v>
      </c>
      <c r="AD1649" s="34" t="s">
        <v>54</v>
      </c>
      <c r="AE1649" s="33">
        <v>64.29</v>
      </c>
      <c r="AN1649" s="7" t="s">
        <v>54</v>
      </c>
      <c r="AO1649" s="7" t="s">
        <v>55</v>
      </c>
      <c r="AP1649" s="7" t="s">
        <v>56</v>
      </c>
      <c r="AT1649" s="47" t="s">
        <v>57</v>
      </c>
      <c r="AU1649" s="47" t="s">
        <v>57</v>
      </c>
    </row>
    <row r="1650" spans="1:47">
      <c r="A1650" s="4" t="s">
        <v>48</v>
      </c>
      <c r="C1650" s="21"/>
      <c r="D1650" s="22" t="s">
        <v>49</v>
      </c>
      <c r="G1650" s="23">
        <v>45086</v>
      </c>
      <c r="H1650" s="24" t="s">
        <v>4883</v>
      </c>
      <c r="J1650" s="28" t="s">
        <v>51</v>
      </c>
      <c r="L1650" s="24" t="s">
        <v>4884</v>
      </c>
      <c r="M1650" s="1" t="str">
        <f>"342101196808061818"</f>
        <v>342101196808061818</v>
      </c>
      <c r="N1650" s="24" t="s">
        <v>4884</v>
      </c>
      <c r="O1650" s="1" t="str">
        <f>"342101196808061818"</f>
        <v>342101196808061818</v>
      </c>
      <c r="P1650" s="23" t="s">
        <v>4885</v>
      </c>
      <c r="Q1650" s="23">
        <v>45087</v>
      </c>
      <c r="R1650" s="32">
        <v>45453</v>
      </c>
      <c r="V1650" s="33">
        <v>100</v>
      </c>
      <c r="W1650" s="28">
        <v>64.29</v>
      </c>
      <c r="X1650" s="34" t="s">
        <v>54</v>
      </c>
      <c r="Y1650" s="33">
        <v>64.29</v>
      </c>
      <c r="AC1650" s="28">
        <v>64.29</v>
      </c>
      <c r="AD1650" s="34" t="s">
        <v>54</v>
      </c>
      <c r="AE1650" s="33">
        <v>64.29</v>
      </c>
      <c r="AN1650" s="7" t="s">
        <v>54</v>
      </c>
      <c r="AO1650" s="7" t="s">
        <v>55</v>
      </c>
      <c r="AP1650" s="7" t="s">
        <v>56</v>
      </c>
      <c r="AT1650" s="47" t="s">
        <v>57</v>
      </c>
      <c r="AU1650" s="47" t="s">
        <v>57</v>
      </c>
    </row>
    <row r="1651" spans="1:47">
      <c r="A1651" s="4" t="s">
        <v>48</v>
      </c>
      <c r="C1651" s="21"/>
      <c r="D1651" s="22" t="s">
        <v>49</v>
      </c>
      <c r="G1651" s="23">
        <v>45088</v>
      </c>
      <c r="H1651" s="24" t="s">
        <v>4886</v>
      </c>
      <c r="J1651" s="28" t="s">
        <v>51</v>
      </c>
      <c r="L1651" s="24" t="s">
        <v>4887</v>
      </c>
      <c r="M1651" s="1" t="str">
        <f>"341221198608070217"</f>
        <v>341221198608070217</v>
      </c>
      <c r="N1651" s="24" t="s">
        <v>4887</v>
      </c>
      <c r="O1651" s="1" t="str">
        <f>"341221198608070217"</f>
        <v>341221198608070217</v>
      </c>
      <c r="P1651" s="23" t="s">
        <v>4888</v>
      </c>
      <c r="Q1651" s="23">
        <v>45089</v>
      </c>
      <c r="R1651" s="32">
        <v>45455</v>
      </c>
      <c r="V1651" s="33">
        <v>100</v>
      </c>
      <c r="W1651" s="28">
        <v>64.29</v>
      </c>
      <c r="X1651" s="34" t="s">
        <v>54</v>
      </c>
      <c r="Y1651" s="33">
        <v>64.29</v>
      </c>
      <c r="AC1651" s="28">
        <v>64.29</v>
      </c>
      <c r="AD1651" s="34" t="s">
        <v>54</v>
      </c>
      <c r="AE1651" s="33">
        <v>64.29</v>
      </c>
      <c r="AN1651" s="7" t="s">
        <v>54</v>
      </c>
      <c r="AO1651" s="7" t="s">
        <v>55</v>
      </c>
      <c r="AP1651" s="7" t="s">
        <v>56</v>
      </c>
      <c r="AT1651" s="47" t="s">
        <v>57</v>
      </c>
      <c r="AU1651" s="47" t="s">
        <v>57</v>
      </c>
    </row>
    <row r="1652" spans="1:47">
      <c r="A1652" s="4" t="s">
        <v>48</v>
      </c>
      <c r="C1652" s="21"/>
      <c r="D1652" s="22" t="s">
        <v>49</v>
      </c>
      <c r="G1652" s="23">
        <v>45075</v>
      </c>
      <c r="H1652" s="24" t="s">
        <v>4889</v>
      </c>
      <c r="J1652" s="28" t="s">
        <v>51</v>
      </c>
      <c r="L1652" s="24" t="s">
        <v>4890</v>
      </c>
      <c r="M1652" s="1" t="str">
        <f>"341202198303251317"</f>
        <v>341202198303251317</v>
      </c>
      <c r="N1652" s="24" t="s">
        <v>4890</v>
      </c>
      <c r="O1652" s="1" t="str">
        <f>"341202198303251317"</f>
        <v>341202198303251317</v>
      </c>
      <c r="P1652" s="23" t="s">
        <v>4891</v>
      </c>
      <c r="Q1652" s="23">
        <v>45076</v>
      </c>
      <c r="R1652" s="32">
        <v>45442</v>
      </c>
      <c r="V1652" s="33">
        <v>100</v>
      </c>
      <c r="W1652" s="28">
        <v>64.29</v>
      </c>
      <c r="X1652" s="34" t="s">
        <v>54</v>
      </c>
      <c r="Y1652" s="33">
        <v>64.29</v>
      </c>
      <c r="AC1652" s="28">
        <v>64.29</v>
      </c>
      <c r="AD1652" s="34" t="s">
        <v>54</v>
      </c>
      <c r="AE1652" s="33">
        <v>64.29</v>
      </c>
      <c r="AN1652" s="7" t="s">
        <v>54</v>
      </c>
      <c r="AO1652" s="7" t="s">
        <v>55</v>
      </c>
      <c r="AP1652" s="7" t="s">
        <v>56</v>
      </c>
      <c r="AT1652" s="47" t="s">
        <v>57</v>
      </c>
      <c r="AU1652" s="47" t="s">
        <v>57</v>
      </c>
    </row>
    <row r="1653" spans="1:47">
      <c r="A1653" s="4" t="s">
        <v>48</v>
      </c>
      <c r="C1653" s="21"/>
      <c r="D1653" s="22" t="s">
        <v>49</v>
      </c>
      <c r="G1653" s="23">
        <v>45075</v>
      </c>
      <c r="H1653" s="24" t="s">
        <v>4892</v>
      </c>
      <c r="J1653" s="28" t="s">
        <v>51</v>
      </c>
      <c r="L1653" s="24" t="s">
        <v>4893</v>
      </c>
      <c r="M1653" s="1" t="str">
        <f>"341204198203061017"</f>
        <v>341204198203061017</v>
      </c>
      <c r="N1653" s="24" t="s">
        <v>4893</v>
      </c>
      <c r="O1653" s="1" t="str">
        <f>"341204198203061017"</f>
        <v>341204198203061017</v>
      </c>
      <c r="P1653" s="23" t="s">
        <v>4894</v>
      </c>
      <c r="Q1653" s="23">
        <v>45286</v>
      </c>
      <c r="R1653" s="32">
        <v>45652</v>
      </c>
      <c r="V1653" s="33">
        <v>100</v>
      </c>
      <c r="W1653" s="28">
        <v>64.29</v>
      </c>
      <c r="X1653" s="34" t="s">
        <v>54</v>
      </c>
      <c r="Y1653" s="33">
        <v>64.29</v>
      </c>
      <c r="AC1653" s="28">
        <v>64.29</v>
      </c>
      <c r="AD1653" s="34" t="s">
        <v>54</v>
      </c>
      <c r="AE1653" s="33">
        <v>64.29</v>
      </c>
      <c r="AN1653" s="7" t="s">
        <v>54</v>
      </c>
      <c r="AO1653" s="7" t="s">
        <v>55</v>
      </c>
      <c r="AP1653" s="7" t="s">
        <v>56</v>
      </c>
      <c r="AT1653" s="47" t="s">
        <v>57</v>
      </c>
      <c r="AU1653" s="47" t="s">
        <v>57</v>
      </c>
    </row>
    <row r="1654" spans="1:47">
      <c r="A1654" s="4" t="s">
        <v>48</v>
      </c>
      <c r="C1654" s="21"/>
      <c r="D1654" s="22" t="s">
        <v>49</v>
      </c>
      <c r="G1654" s="23">
        <v>45075</v>
      </c>
      <c r="H1654" s="24" t="s">
        <v>4895</v>
      </c>
      <c r="J1654" s="28" t="s">
        <v>51</v>
      </c>
      <c r="L1654" s="24" t="s">
        <v>4896</v>
      </c>
      <c r="M1654" s="1" t="str">
        <f>"341202199407050215"</f>
        <v>341202199407050215</v>
      </c>
      <c r="N1654" s="24" t="s">
        <v>4896</v>
      </c>
      <c r="O1654" s="1" t="str">
        <f>"341202199407050215"</f>
        <v>341202199407050215</v>
      </c>
      <c r="P1654" s="23" t="s">
        <v>4897</v>
      </c>
      <c r="Q1654" s="23">
        <v>45139</v>
      </c>
      <c r="R1654" s="32">
        <v>45505</v>
      </c>
      <c r="V1654" s="33">
        <v>100</v>
      </c>
      <c r="W1654" s="28">
        <v>64.29</v>
      </c>
      <c r="X1654" s="34" t="s">
        <v>54</v>
      </c>
      <c r="Y1654" s="33">
        <v>64.29</v>
      </c>
      <c r="AC1654" s="28">
        <v>64.29</v>
      </c>
      <c r="AD1654" s="34" t="s">
        <v>54</v>
      </c>
      <c r="AE1654" s="33">
        <v>64.29</v>
      </c>
      <c r="AN1654" s="7" t="s">
        <v>54</v>
      </c>
      <c r="AO1654" s="7" t="s">
        <v>55</v>
      </c>
      <c r="AP1654" s="7" t="s">
        <v>56</v>
      </c>
      <c r="AT1654" s="47" t="s">
        <v>57</v>
      </c>
      <c r="AU1654" s="47" t="s">
        <v>57</v>
      </c>
    </row>
    <row r="1655" spans="1:47">
      <c r="A1655" s="4" t="s">
        <v>48</v>
      </c>
      <c r="C1655" s="21"/>
      <c r="D1655" s="22" t="s">
        <v>49</v>
      </c>
      <c r="G1655" s="23">
        <v>45075</v>
      </c>
      <c r="H1655" s="24" t="s">
        <v>4898</v>
      </c>
      <c r="J1655" s="28" t="s">
        <v>51</v>
      </c>
      <c r="L1655" s="24" t="s">
        <v>4899</v>
      </c>
      <c r="M1655" s="1" t="str">
        <f>"341203199010072228"</f>
        <v>341203199010072228</v>
      </c>
      <c r="N1655" s="24" t="s">
        <v>4899</v>
      </c>
      <c r="O1655" s="1" t="str">
        <f>"341203199010072228"</f>
        <v>341203199010072228</v>
      </c>
      <c r="P1655" s="23" t="s">
        <v>4900</v>
      </c>
      <c r="Q1655" s="23">
        <v>45229</v>
      </c>
      <c r="R1655" s="32">
        <v>45595</v>
      </c>
      <c r="V1655" s="33">
        <v>100</v>
      </c>
      <c r="W1655" s="28">
        <v>64.29</v>
      </c>
      <c r="X1655" s="34" t="s">
        <v>54</v>
      </c>
      <c r="Y1655" s="33">
        <v>64.29</v>
      </c>
      <c r="AC1655" s="28">
        <v>64.29</v>
      </c>
      <c r="AD1655" s="34" t="s">
        <v>54</v>
      </c>
      <c r="AE1655" s="33">
        <v>64.29</v>
      </c>
      <c r="AN1655" s="7" t="s">
        <v>54</v>
      </c>
      <c r="AO1655" s="7" t="s">
        <v>55</v>
      </c>
      <c r="AP1655" s="7" t="s">
        <v>56</v>
      </c>
      <c r="AT1655" s="47" t="s">
        <v>57</v>
      </c>
      <c r="AU1655" s="47" t="s">
        <v>57</v>
      </c>
    </row>
    <row r="1656" spans="1:47">
      <c r="A1656" s="4" t="s">
        <v>48</v>
      </c>
      <c r="C1656" s="21"/>
      <c r="D1656" s="22" t="s">
        <v>49</v>
      </c>
      <c r="G1656" s="23">
        <v>45085</v>
      </c>
      <c r="H1656" s="24" t="s">
        <v>4901</v>
      </c>
      <c r="J1656" s="28" t="s">
        <v>51</v>
      </c>
      <c r="L1656" s="24" t="s">
        <v>4902</v>
      </c>
      <c r="M1656" s="1" t="str">
        <f>"132826196111254210"</f>
        <v>132826196111254210</v>
      </c>
      <c r="N1656" s="24" t="s">
        <v>4902</v>
      </c>
      <c r="O1656" s="1" t="str">
        <f>"132826196111254210"</f>
        <v>132826196111254210</v>
      </c>
      <c r="P1656" s="23" t="s">
        <v>4903</v>
      </c>
      <c r="Q1656" s="23">
        <v>45086</v>
      </c>
      <c r="R1656" s="32">
        <v>45452</v>
      </c>
      <c r="V1656" s="33">
        <v>50</v>
      </c>
      <c r="W1656" s="28">
        <v>64.29</v>
      </c>
      <c r="X1656" s="34" t="s">
        <v>54</v>
      </c>
      <c r="Y1656" s="33">
        <v>32.15</v>
      </c>
      <c r="AC1656" s="28">
        <v>64.29</v>
      </c>
      <c r="AD1656" s="34" t="s">
        <v>54</v>
      </c>
      <c r="AE1656" s="33">
        <v>32.15</v>
      </c>
      <c r="AN1656" s="7" t="s">
        <v>54</v>
      </c>
      <c r="AO1656" s="7" t="s">
        <v>55</v>
      </c>
      <c r="AP1656" s="7" t="s">
        <v>56</v>
      </c>
      <c r="AT1656" s="47" t="s">
        <v>57</v>
      </c>
      <c r="AU1656" s="47" t="s">
        <v>57</v>
      </c>
    </row>
    <row r="1657" spans="1:47">
      <c r="A1657" s="4" t="s">
        <v>48</v>
      </c>
      <c r="C1657" s="21"/>
      <c r="D1657" s="22" t="s">
        <v>49</v>
      </c>
      <c r="G1657" s="23">
        <v>45087</v>
      </c>
      <c r="H1657" s="24" t="s">
        <v>4904</v>
      </c>
      <c r="J1657" s="28" t="s">
        <v>51</v>
      </c>
      <c r="L1657" s="24" t="s">
        <v>4905</v>
      </c>
      <c r="M1657" s="1" t="str">
        <f>"342121196401206646"</f>
        <v>342121196401206646</v>
      </c>
      <c r="N1657" s="24" t="s">
        <v>4905</v>
      </c>
      <c r="O1657" s="1" t="str">
        <f>"342121196401206646"</f>
        <v>342121196401206646</v>
      </c>
      <c r="P1657" s="23" t="s">
        <v>4906</v>
      </c>
      <c r="Q1657" s="23">
        <v>45088</v>
      </c>
      <c r="R1657" s="32">
        <v>45454</v>
      </c>
      <c r="V1657" s="33">
        <v>50</v>
      </c>
      <c r="W1657" s="28">
        <v>64.29</v>
      </c>
      <c r="X1657" s="34" t="s">
        <v>54</v>
      </c>
      <c r="Y1657" s="33">
        <v>32.15</v>
      </c>
      <c r="AC1657" s="28">
        <v>64.29</v>
      </c>
      <c r="AD1657" s="34" t="s">
        <v>54</v>
      </c>
      <c r="AE1657" s="33">
        <v>32.15</v>
      </c>
      <c r="AN1657" s="7" t="s">
        <v>54</v>
      </c>
      <c r="AO1657" s="7" t="s">
        <v>55</v>
      </c>
      <c r="AP1657" s="7" t="s">
        <v>56</v>
      </c>
      <c r="AT1657" s="47" t="s">
        <v>57</v>
      </c>
      <c r="AU1657" s="47" t="s">
        <v>57</v>
      </c>
    </row>
    <row r="1658" spans="1:47">
      <c r="A1658" s="4" t="s">
        <v>48</v>
      </c>
      <c r="C1658" s="21"/>
      <c r="D1658" s="22" t="s">
        <v>49</v>
      </c>
      <c r="G1658" s="23">
        <v>45086</v>
      </c>
      <c r="H1658" s="24" t="s">
        <v>4907</v>
      </c>
      <c r="J1658" s="28" t="s">
        <v>51</v>
      </c>
      <c r="L1658" s="24" t="s">
        <v>4908</v>
      </c>
      <c r="M1658" s="1" t="str">
        <f>"341203198311210917"</f>
        <v>341203198311210917</v>
      </c>
      <c r="N1658" s="24" t="s">
        <v>4908</v>
      </c>
      <c r="O1658" s="1" t="str">
        <f>"341203198311210917"</f>
        <v>341203198311210917</v>
      </c>
      <c r="P1658" s="23" t="s">
        <v>4909</v>
      </c>
      <c r="Q1658" s="23">
        <v>45087</v>
      </c>
      <c r="R1658" s="32">
        <v>45453</v>
      </c>
      <c r="V1658" s="33">
        <v>50</v>
      </c>
      <c r="W1658" s="28">
        <v>64.29</v>
      </c>
      <c r="X1658" s="34" t="s">
        <v>54</v>
      </c>
      <c r="Y1658" s="33">
        <v>32.15</v>
      </c>
      <c r="AC1658" s="28">
        <v>64.29</v>
      </c>
      <c r="AD1658" s="34" t="s">
        <v>54</v>
      </c>
      <c r="AE1658" s="33">
        <v>32.15</v>
      </c>
      <c r="AN1658" s="7" t="s">
        <v>54</v>
      </c>
      <c r="AO1658" s="7" t="s">
        <v>55</v>
      </c>
      <c r="AP1658" s="7" t="s">
        <v>56</v>
      </c>
      <c r="AT1658" s="47" t="s">
        <v>57</v>
      </c>
      <c r="AU1658" s="47" t="s">
        <v>57</v>
      </c>
    </row>
    <row r="1659" spans="1:47">
      <c r="A1659" s="4" t="s">
        <v>48</v>
      </c>
      <c r="C1659" s="21"/>
      <c r="D1659" s="22" t="s">
        <v>49</v>
      </c>
      <c r="G1659" s="23">
        <v>45088</v>
      </c>
      <c r="H1659" s="24" t="s">
        <v>4910</v>
      </c>
      <c r="J1659" s="28" t="s">
        <v>51</v>
      </c>
      <c r="L1659" s="24" t="s">
        <v>4911</v>
      </c>
      <c r="M1659" s="1" t="str">
        <f>"132826195406064428"</f>
        <v>132826195406064428</v>
      </c>
      <c r="N1659" s="24" t="s">
        <v>4911</v>
      </c>
      <c r="O1659" s="1" t="str">
        <f>"132826195406064428"</f>
        <v>132826195406064428</v>
      </c>
      <c r="P1659" s="23" t="s">
        <v>4912</v>
      </c>
      <c r="Q1659" s="23">
        <v>45089</v>
      </c>
      <c r="R1659" s="32">
        <v>45455</v>
      </c>
      <c r="V1659" s="33">
        <v>50</v>
      </c>
      <c r="W1659" s="28">
        <v>64.29</v>
      </c>
      <c r="X1659" s="34" t="s">
        <v>54</v>
      </c>
      <c r="Y1659" s="33">
        <v>32.15</v>
      </c>
      <c r="AC1659" s="28">
        <v>64.29</v>
      </c>
      <c r="AD1659" s="34" t="s">
        <v>54</v>
      </c>
      <c r="AE1659" s="33">
        <v>32.15</v>
      </c>
      <c r="AN1659" s="7" t="s">
        <v>54</v>
      </c>
      <c r="AO1659" s="7" t="s">
        <v>55</v>
      </c>
      <c r="AP1659" s="7" t="s">
        <v>56</v>
      </c>
      <c r="AT1659" s="47" t="s">
        <v>57</v>
      </c>
      <c r="AU1659" s="47" t="s">
        <v>57</v>
      </c>
    </row>
    <row r="1660" spans="1:47">
      <c r="A1660" s="4" t="s">
        <v>48</v>
      </c>
      <c r="C1660" s="21"/>
      <c r="D1660" s="22" t="s">
        <v>49</v>
      </c>
      <c r="G1660" s="23">
        <v>45097</v>
      </c>
      <c r="H1660" s="24" t="s">
        <v>4913</v>
      </c>
      <c r="J1660" s="28" t="s">
        <v>51</v>
      </c>
      <c r="L1660" s="24" t="s">
        <v>4914</v>
      </c>
      <c r="M1660" s="1" t="str">
        <f>"341222197112096001"</f>
        <v>341222197112096001</v>
      </c>
      <c r="N1660" s="24" t="s">
        <v>4914</v>
      </c>
      <c r="O1660" s="1" t="str">
        <f>"341222197112096001"</f>
        <v>341222197112096001</v>
      </c>
      <c r="P1660" s="23" t="s">
        <v>4915</v>
      </c>
      <c r="Q1660" s="23">
        <v>45158</v>
      </c>
      <c r="R1660" s="32">
        <v>45524</v>
      </c>
      <c r="V1660" s="33">
        <v>100</v>
      </c>
      <c r="W1660" s="28">
        <v>64.29</v>
      </c>
      <c r="X1660" s="34" t="s">
        <v>54</v>
      </c>
      <c r="Y1660" s="33">
        <v>64.29</v>
      </c>
      <c r="AC1660" s="28">
        <v>64.29</v>
      </c>
      <c r="AD1660" s="34" t="s">
        <v>54</v>
      </c>
      <c r="AE1660" s="33">
        <v>64.29</v>
      </c>
      <c r="AN1660" s="7" t="s">
        <v>54</v>
      </c>
      <c r="AO1660" s="7" t="s">
        <v>55</v>
      </c>
      <c r="AP1660" s="7" t="s">
        <v>56</v>
      </c>
      <c r="AT1660" s="47" t="s">
        <v>57</v>
      </c>
      <c r="AU1660" s="47" t="s">
        <v>57</v>
      </c>
    </row>
    <row r="1661" spans="1:47">
      <c r="A1661" s="4" t="s">
        <v>48</v>
      </c>
      <c r="C1661" s="21"/>
      <c r="D1661" s="22" t="s">
        <v>49</v>
      </c>
      <c r="G1661" s="23">
        <v>45086</v>
      </c>
      <c r="H1661" s="24" t="s">
        <v>4916</v>
      </c>
      <c r="J1661" s="28" t="s">
        <v>51</v>
      </c>
      <c r="L1661" s="24" t="s">
        <v>4917</v>
      </c>
      <c r="M1661" s="1" t="str">
        <f>"132826197606034417"</f>
        <v>132826197606034417</v>
      </c>
      <c r="N1661" s="24" t="s">
        <v>4917</v>
      </c>
      <c r="O1661" s="1" t="str">
        <f>"132826197606034417"</f>
        <v>132826197606034417</v>
      </c>
      <c r="P1661" s="23" t="s">
        <v>4918</v>
      </c>
      <c r="Q1661" s="23">
        <v>45291</v>
      </c>
      <c r="R1661" s="32">
        <v>45657</v>
      </c>
      <c r="V1661" s="33">
        <v>100</v>
      </c>
      <c r="W1661" s="28">
        <v>64.29</v>
      </c>
      <c r="X1661" s="34" t="s">
        <v>54</v>
      </c>
      <c r="Y1661" s="33">
        <v>64.29</v>
      </c>
      <c r="AC1661" s="28">
        <v>64.29</v>
      </c>
      <c r="AD1661" s="34" t="s">
        <v>54</v>
      </c>
      <c r="AE1661" s="33">
        <v>64.29</v>
      </c>
      <c r="AN1661" s="7" t="s">
        <v>54</v>
      </c>
      <c r="AO1661" s="7" t="s">
        <v>55</v>
      </c>
      <c r="AP1661" s="7" t="s">
        <v>56</v>
      </c>
      <c r="AT1661" s="47" t="s">
        <v>57</v>
      </c>
      <c r="AU1661" s="47" t="s">
        <v>57</v>
      </c>
    </row>
    <row r="1662" spans="1:47">
      <c r="A1662" s="4" t="s">
        <v>48</v>
      </c>
      <c r="C1662" s="21"/>
      <c r="D1662" s="22" t="s">
        <v>49</v>
      </c>
      <c r="G1662" s="23">
        <v>45086</v>
      </c>
      <c r="H1662" s="24" t="s">
        <v>4919</v>
      </c>
      <c r="J1662" s="28" t="s">
        <v>51</v>
      </c>
      <c r="L1662" s="24" t="s">
        <v>4920</v>
      </c>
      <c r="M1662" s="1" t="str">
        <f>"341227198312161628"</f>
        <v>341227198312161628</v>
      </c>
      <c r="N1662" s="24" t="s">
        <v>4920</v>
      </c>
      <c r="O1662" s="1" t="str">
        <f>"341227198312161628"</f>
        <v>341227198312161628</v>
      </c>
      <c r="P1662" s="23" t="s">
        <v>4921</v>
      </c>
      <c r="Q1662" s="23">
        <v>45087</v>
      </c>
      <c r="R1662" s="32">
        <v>45453</v>
      </c>
      <c r="V1662" s="33">
        <v>100</v>
      </c>
      <c r="W1662" s="28">
        <v>64.29</v>
      </c>
      <c r="X1662" s="34" t="s">
        <v>54</v>
      </c>
      <c r="Y1662" s="33">
        <v>64.29</v>
      </c>
      <c r="AC1662" s="28">
        <v>64.29</v>
      </c>
      <c r="AD1662" s="34" t="s">
        <v>54</v>
      </c>
      <c r="AE1662" s="33">
        <v>64.29</v>
      </c>
      <c r="AN1662" s="7" t="s">
        <v>54</v>
      </c>
      <c r="AO1662" s="7" t="s">
        <v>55</v>
      </c>
      <c r="AP1662" s="7" t="s">
        <v>56</v>
      </c>
      <c r="AT1662" s="47" t="s">
        <v>57</v>
      </c>
      <c r="AU1662" s="47" t="s">
        <v>57</v>
      </c>
    </row>
    <row r="1663" spans="1:47">
      <c r="A1663" s="4" t="s">
        <v>48</v>
      </c>
      <c r="C1663" s="21"/>
      <c r="D1663" s="22" t="s">
        <v>49</v>
      </c>
      <c r="G1663" s="23">
        <v>45085</v>
      </c>
      <c r="H1663" s="24" t="s">
        <v>4922</v>
      </c>
      <c r="J1663" s="28" t="s">
        <v>51</v>
      </c>
      <c r="L1663" s="24" t="s">
        <v>4923</v>
      </c>
      <c r="M1663" s="1" t="str">
        <f>"341204198605080632"</f>
        <v>341204198605080632</v>
      </c>
      <c r="N1663" s="24" t="s">
        <v>4923</v>
      </c>
      <c r="O1663" s="1" t="str">
        <f>"341204198605080632"</f>
        <v>341204198605080632</v>
      </c>
      <c r="P1663" s="23" t="s">
        <v>4924</v>
      </c>
      <c r="Q1663" s="23">
        <v>45108</v>
      </c>
      <c r="R1663" s="32">
        <v>45474</v>
      </c>
      <c r="V1663" s="33">
        <v>100</v>
      </c>
      <c r="W1663" s="28">
        <v>64.29</v>
      </c>
      <c r="X1663" s="34" t="s">
        <v>54</v>
      </c>
      <c r="Y1663" s="33">
        <v>64.29</v>
      </c>
      <c r="AC1663" s="28">
        <v>64.29</v>
      </c>
      <c r="AD1663" s="34" t="s">
        <v>54</v>
      </c>
      <c r="AE1663" s="33">
        <v>64.29</v>
      </c>
      <c r="AN1663" s="7" t="s">
        <v>54</v>
      </c>
      <c r="AO1663" s="7" t="s">
        <v>55</v>
      </c>
      <c r="AP1663" s="7" t="s">
        <v>56</v>
      </c>
      <c r="AT1663" s="47" t="s">
        <v>57</v>
      </c>
      <c r="AU1663" s="47" t="s">
        <v>57</v>
      </c>
    </row>
    <row r="1664" spans="1:47">
      <c r="A1664" s="4" t="s">
        <v>48</v>
      </c>
      <c r="C1664" s="21"/>
      <c r="D1664" s="22" t="s">
        <v>49</v>
      </c>
      <c r="G1664" s="23">
        <v>45086</v>
      </c>
      <c r="H1664" s="24" t="s">
        <v>4925</v>
      </c>
      <c r="J1664" s="28" t="s">
        <v>51</v>
      </c>
      <c r="L1664" s="24" t="s">
        <v>1827</v>
      </c>
      <c r="M1664" s="1" t="str">
        <f>"341221199709151520"</f>
        <v>341221199709151520</v>
      </c>
      <c r="N1664" s="24" t="s">
        <v>1827</v>
      </c>
      <c r="O1664" s="1" t="str">
        <f>"341221199709151520"</f>
        <v>341221199709151520</v>
      </c>
      <c r="P1664" s="23" t="s">
        <v>4926</v>
      </c>
      <c r="Q1664" s="23">
        <v>45291</v>
      </c>
      <c r="R1664" s="32">
        <v>45657</v>
      </c>
      <c r="V1664" s="33">
        <v>100</v>
      </c>
      <c r="W1664" s="28">
        <v>64.29</v>
      </c>
      <c r="X1664" s="34" t="s">
        <v>54</v>
      </c>
      <c r="Y1664" s="33">
        <v>64.29</v>
      </c>
      <c r="AC1664" s="28">
        <v>64.29</v>
      </c>
      <c r="AD1664" s="34" t="s">
        <v>54</v>
      </c>
      <c r="AE1664" s="33">
        <v>64.29</v>
      </c>
      <c r="AN1664" s="7" t="s">
        <v>54</v>
      </c>
      <c r="AO1664" s="7" t="s">
        <v>55</v>
      </c>
      <c r="AP1664" s="7" t="s">
        <v>56</v>
      </c>
      <c r="AT1664" s="47" t="s">
        <v>57</v>
      </c>
      <c r="AU1664" s="47" t="s">
        <v>57</v>
      </c>
    </row>
    <row r="1665" spans="1:47">
      <c r="A1665" s="4" t="s">
        <v>48</v>
      </c>
      <c r="C1665" s="21"/>
      <c r="D1665" s="22" t="s">
        <v>49</v>
      </c>
      <c r="G1665" s="23">
        <v>45086</v>
      </c>
      <c r="H1665" s="24" t="s">
        <v>4927</v>
      </c>
      <c r="J1665" s="28" t="s">
        <v>51</v>
      </c>
      <c r="L1665" s="24" t="s">
        <v>4928</v>
      </c>
      <c r="M1665" s="1" t="str">
        <f>"342101197804153023"</f>
        <v>342101197804153023</v>
      </c>
      <c r="N1665" s="24" t="s">
        <v>4928</v>
      </c>
      <c r="O1665" s="1" t="str">
        <f>"342101197804153023"</f>
        <v>342101197804153023</v>
      </c>
      <c r="P1665" s="23" t="s">
        <v>4929</v>
      </c>
      <c r="Q1665" s="23">
        <v>45087</v>
      </c>
      <c r="R1665" s="32">
        <v>45453</v>
      </c>
      <c r="V1665" s="33">
        <v>100</v>
      </c>
      <c r="W1665" s="28">
        <v>64.29</v>
      </c>
      <c r="X1665" s="34" t="s">
        <v>54</v>
      </c>
      <c r="Y1665" s="33">
        <v>64.29</v>
      </c>
      <c r="AC1665" s="28">
        <v>64.29</v>
      </c>
      <c r="AD1665" s="34" t="s">
        <v>54</v>
      </c>
      <c r="AE1665" s="33">
        <v>64.29</v>
      </c>
      <c r="AN1665" s="7" t="s">
        <v>54</v>
      </c>
      <c r="AO1665" s="7" t="s">
        <v>55</v>
      </c>
      <c r="AP1665" s="7" t="s">
        <v>56</v>
      </c>
      <c r="AT1665" s="47" t="s">
        <v>57</v>
      </c>
      <c r="AU1665" s="47" t="s">
        <v>57</v>
      </c>
    </row>
    <row r="1666" spans="1:47">
      <c r="A1666" s="4" t="s">
        <v>48</v>
      </c>
      <c r="C1666" s="21"/>
      <c r="D1666" s="22" t="s">
        <v>49</v>
      </c>
      <c r="G1666" s="23">
        <v>45085</v>
      </c>
      <c r="H1666" s="24" t="s">
        <v>4930</v>
      </c>
      <c r="J1666" s="28" t="s">
        <v>51</v>
      </c>
      <c r="L1666" s="24" t="s">
        <v>4931</v>
      </c>
      <c r="M1666" s="1" t="str">
        <f>"342122198105174411"</f>
        <v>342122198105174411</v>
      </c>
      <c r="N1666" s="24" t="s">
        <v>4931</v>
      </c>
      <c r="O1666" s="1" t="str">
        <f>"342122198105174411"</f>
        <v>342122198105174411</v>
      </c>
      <c r="P1666" s="23" t="s">
        <v>4932</v>
      </c>
      <c r="Q1666" s="23">
        <v>45139</v>
      </c>
      <c r="R1666" s="32">
        <v>45505</v>
      </c>
      <c r="V1666" s="33">
        <v>100</v>
      </c>
      <c r="W1666" s="28">
        <v>64.29</v>
      </c>
      <c r="X1666" s="34" t="s">
        <v>54</v>
      </c>
      <c r="Y1666" s="33">
        <v>64.29</v>
      </c>
      <c r="AC1666" s="28">
        <v>64.29</v>
      </c>
      <c r="AD1666" s="34" t="s">
        <v>54</v>
      </c>
      <c r="AE1666" s="33">
        <v>64.29</v>
      </c>
      <c r="AN1666" s="7" t="s">
        <v>54</v>
      </c>
      <c r="AO1666" s="7" t="s">
        <v>55</v>
      </c>
      <c r="AP1666" s="7" t="s">
        <v>56</v>
      </c>
      <c r="AT1666" s="47" t="s">
        <v>57</v>
      </c>
      <c r="AU1666" s="47" t="s">
        <v>57</v>
      </c>
    </row>
    <row r="1667" spans="1:47">
      <c r="A1667" s="4" t="s">
        <v>48</v>
      </c>
      <c r="C1667" s="21"/>
      <c r="D1667" s="22" t="s">
        <v>49</v>
      </c>
      <c r="G1667" s="23">
        <v>45072</v>
      </c>
      <c r="H1667" s="24" t="s">
        <v>4933</v>
      </c>
      <c r="J1667" s="28" t="s">
        <v>51</v>
      </c>
      <c r="L1667" s="24" t="s">
        <v>4934</v>
      </c>
      <c r="M1667" s="1" t="str">
        <f>"342101196909258011"</f>
        <v>342101196909258011</v>
      </c>
      <c r="N1667" s="24" t="s">
        <v>4934</v>
      </c>
      <c r="O1667" s="1" t="str">
        <f>"342101196909258011"</f>
        <v>342101196909258011</v>
      </c>
      <c r="P1667" s="23" t="s">
        <v>4935</v>
      </c>
      <c r="Q1667" s="23">
        <v>45073</v>
      </c>
      <c r="R1667" s="32">
        <v>45439</v>
      </c>
      <c r="V1667" s="33">
        <v>100</v>
      </c>
      <c r="W1667" s="28">
        <v>64.29</v>
      </c>
      <c r="X1667" s="34" t="s">
        <v>54</v>
      </c>
      <c r="Y1667" s="33">
        <v>64.29</v>
      </c>
      <c r="AC1667" s="28">
        <v>64.29</v>
      </c>
      <c r="AD1667" s="34" t="s">
        <v>54</v>
      </c>
      <c r="AE1667" s="33">
        <v>64.29</v>
      </c>
      <c r="AN1667" s="7" t="s">
        <v>54</v>
      </c>
      <c r="AO1667" s="7" t="s">
        <v>55</v>
      </c>
      <c r="AP1667" s="7" t="s">
        <v>56</v>
      </c>
      <c r="AT1667" s="47" t="s">
        <v>57</v>
      </c>
      <c r="AU1667" s="47" t="s">
        <v>57</v>
      </c>
    </row>
    <row r="1668" spans="1:47">
      <c r="A1668" s="4" t="s">
        <v>48</v>
      </c>
      <c r="C1668" s="21"/>
      <c r="D1668" s="22" t="s">
        <v>49</v>
      </c>
      <c r="G1668" s="23">
        <v>45086</v>
      </c>
      <c r="H1668" s="24" t="s">
        <v>4936</v>
      </c>
      <c r="J1668" s="28" t="s">
        <v>51</v>
      </c>
      <c r="L1668" s="24" t="s">
        <v>4937</v>
      </c>
      <c r="M1668" s="1" t="str">
        <f>"34122119890916812X"</f>
        <v>34122119890916812X</v>
      </c>
      <c r="N1668" s="24" t="s">
        <v>4937</v>
      </c>
      <c r="O1668" s="1" t="str">
        <f>"34122119890916812X"</f>
        <v>34122119890916812X</v>
      </c>
      <c r="P1668" s="23" t="s">
        <v>4938</v>
      </c>
      <c r="Q1668" s="23">
        <v>45087</v>
      </c>
      <c r="R1668" s="32">
        <v>45453</v>
      </c>
      <c r="V1668" s="33">
        <v>50</v>
      </c>
      <c r="W1668" s="28">
        <v>64.29</v>
      </c>
      <c r="X1668" s="34" t="s">
        <v>54</v>
      </c>
      <c r="Y1668" s="33">
        <v>32.15</v>
      </c>
      <c r="AC1668" s="28">
        <v>64.29</v>
      </c>
      <c r="AD1668" s="34" t="s">
        <v>54</v>
      </c>
      <c r="AE1668" s="33">
        <v>32.15</v>
      </c>
      <c r="AN1668" s="7" t="s">
        <v>54</v>
      </c>
      <c r="AO1668" s="7" t="s">
        <v>55</v>
      </c>
      <c r="AP1668" s="7" t="s">
        <v>56</v>
      </c>
      <c r="AT1668" s="47" t="s">
        <v>57</v>
      </c>
      <c r="AU1668" s="47" t="s">
        <v>57</v>
      </c>
    </row>
    <row r="1669" spans="1:47">
      <c r="A1669" s="4" t="s">
        <v>48</v>
      </c>
      <c r="C1669" s="21"/>
      <c r="D1669" s="22" t="s">
        <v>49</v>
      </c>
      <c r="G1669" s="23">
        <v>45086</v>
      </c>
      <c r="H1669" s="24" t="s">
        <v>4939</v>
      </c>
      <c r="J1669" s="28" t="s">
        <v>51</v>
      </c>
      <c r="L1669" s="24" t="s">
        <v>4850</v>
      </c>
      <c r="M1669" s="1" t="str">
        <f>"342122198206103735"</f>
        <v>342122198206103735</v>
      </c>
      <c r="N1669" s="24" t="s">
        <v>4850</v>
      </c>
      <c r="O1669" s="1" t="str">
        <f>"342122198206103735"</f>
        <v>342122198206103735</v>
      </c>
      <c r="P1669" s="23" t="s">
        <v>4940</v>
      </c>
      <c r="Q1669" s="23">
        <v>45087</v>
      </c>
      <c r="R1669" s="32">
        <v>45453</v>
      </c>
      <c r="V1669" s="33">
        <v>50</v>
      </c>
      <c r="W1669" s="28">
        <v>64.29</v>
      </c>
      <c r="X1669" s="34" t="s">
        <v>54</v>
      </c>
      <c r="Y1669" s="33">
        <v>32.15</v>
      </c>
      <c r="AC1669" s="28">
        <v>64.29</v>
      </c>
      <c r="AD1669" s="34" t="s">
        <v>54</v>
      </c>
      <c r="AE1669" s="33">
        <v>32.15</v>
      </c>
      <c r="AN1669" s="7" t="s">
        <v>54</v>
      </c>
      <c r="AO1669" s="7" t="s">
        <v>55</v>
      </c>
      <c r="AP1669" s="7" t="s">
        <v>56</v>
      </c>
      <c r="AT1669" s="47" t="s">
        <v>57</v>
      </c>
      <c r="AU1669" s="47" t="s">
        <v>57</v>
      </c>
    </row>
    <row r="1670" spans="1:47">
      <c r="A1670" s="4" t="s">
        <v>48</v>
      </c>
      <c r="C1670" s="21"/>
      <c r="D1670" s="22" t="s">
        <v>49</v>
      </c>
      <c r="G1670" s="23">
        <v>45086</v>
      </c>
      <c r="H1670" s="24" t="s">
        <v>4941</v>
      </c>
      <c r="J1670" s="28" t="s">
        <v>51</v>
      </c>
      <c r="L1670" s="24" t="s">
        <v>4942</v>
      </c>
      <c r="M1670" s="1" t="str">
        <f>"342423198711118383"</f>
        <v>342423198711118383</v>
      </c>
      <c r="N1670" s="24" t="s">
        <v>4942</v>
      </c>
      <c r="O1670" s="1" t="str">
        <f>"342423198711118383"</f>
        <v>342423198711118383</v>
      </c>
      <c r="P1670" s="23" t="s">
        <v>4943</v>
      </c>
      <c r="Q1670" s="23">
        <v>45087</v>
      </c>
      <c r="R1670" s="32">
        <v>45453</v>
      </c>
      <c r="V1670" s="33">
        <v>50</v>
      </c>
      <c r="W1670" s="28">
        <v>64.29</v>
      </c>
      <c r="X1670" s="34" t="s">
        <v>54</v>
      </c>
      <c r="Y1670" s="33">
        <v>32.15</v>
      </c>
      <c r="AC1670" s="28">
        <v>64.29</v>
      </c>
      <c r="AD1670" s="34" t="s">
        <v>54</v>
      </c>
      <c r="AE1670" s="33">
        <v>32.15</v>
      </c>
      <c r="AN1670" s="7" t="s">
        <v>54</v>
      </c>
      <c r="AO1670" s="7" t="s">
        <v>55</v>
      </c>
      <c r="AP1670" s="7" t="s">
        <v>56</v>
      </c>
      <c r="AT1670" s="47" t="s">
        <v>57</v>
      </c>
      <c r="AU1670" s="47" t="s">
        <v>57</v>
      </c>
    </row>
    <row r="1671" spans="1:47">
      <c r="A1671" s="4" t="s">
        <v>48</v>
      </c>
      <c r="C1671" s="21"/>
      <c r="D1671" s="22" t="s">
        <v>49</v>
      </c>
      <c r="G1671" s="23">
        <v>45083</v>
      </c>
      <c r="H1671" s="24" t="s">
        <v>4944</v>
      </c>
      <c r="J1671" s="28" t="s">
        <v>51</v>
      </c>
      <c r="L1671" s="24" t="s">
        <v>4945</v>
      </c>
      <c r="M1671" s="1" t="str">
        <f>"341225198608140233"</f>
        <v>341225198608140233</v>
      </c>
      <c r="N1671" s="24" t="s">
        <v>4945</v>
      </c>
      <c r="O1671" s="1" t="str">
        <f>"341225198608140233"</f>
        <v>341225198608140233</v>
      </c>
      <c r="P1671" s="23" t="s">
        <v>4946</v>
      </c>
      <c r="Q1671" s="23">
        <v>45084</v>
      </c>
      <c r="R1671" s="32">
        <v>45450</v>
      </c>
      <c r="V1671" s="33">
        <v>50</v>
      </c>
      <c r="W1671" s="28">
        <v>64.29</v>
      </c>
      <c r="X1671" s="34" t="s">
        <v>54</v>
      </c>
      <c r="Y1671" s="33">
        <v>32.15</v>
      </c>
      <c r="AC1671" s="28">
        <v>64.29</v>
      </c>
      <c r="AD1671" s="34" t="s">
        <v>54</v>
      </c>
      <c r="AE1671" s="33">
        <v>32.15</v>
      </c>
      <c r="AN1671" s="7" t="s">
        <v>54</v>
      </c>
      <c r="AO1671" s="7" t="s">
        <v>55</v>
      </c>
      <c r="AP1671" s="7" t="s">
        <v>56</v>
      </c>
      <c r="AT1671" s="47" t="s">
        <v>57</v>
      </c>
      <c r="AU1671" s="47" t="s">
        <v>57</v>
      </c>
    </row>
    <row r="1672" spans="1:47">
      <c r="A1672" s="4" t="s">
        <v>48</v>
      </c>
      <c r="C1672" s="21"/>
      <c r="D1672" s="22" t="s">
        <v>49</v>
      </c>
      <c r="G1672" s="23">
        <v>45096</v>
      </c>
      <c r="H1672" s="24" t="s">
        <v>4947</v>
      </c>
      <c r="J1672" s="28" t="s">
        <v>51</v>
      </c>
      <c r="L1672" s="24" t="s">
        <v>4948</v>
      </c>
      <c r="M1672" s="1" t="str">
        <f>"132825197002062410"</f>
        <v>132825197002062410</v>
      </c>
      <c r="N1672" s="24" t="s">
        <v>4948</v>
      </c>
      <c r="O1672" s="1" t="str">
        <f>"132825197002062410"</f>
        <v>132825197002062410</v>
      </c>
      <c r="P1672" s="23" t="s">
        <v>4949</v>
      </c>
      <c r="Q1672" s="23">
        <v>45097</v>
      </c>
      <c r="R1672" s="32">
        <v>45463</v>
      </c>
      <c r="V1672" s="33">
        <v>100</v>
      </c>
      <c r="W1672" s="28">
        <v>64.29</v>
      </c>
      <c r="X1672" s="34" t="s">
        <v>54</v>
      </c>
      <c r="Y1672" s="33">
        <v>64.29</v>
      </c>
      <c r="AC1672" s="28">
        <v>64.29</v>
      </c>
      <c r="AD1672" s="34" t="s">
        <v>54</v>
      </c>
      <c r="AE1672" s="33">
        <v>64.29</v>
      </c>
      <c r="AN1672" s="7" t="s">
        <v>54</v>
      </c>
      <c r="AO1672" s="7" t="s">
        <v>55</v>
      </c>
      <c r="AP1672" s="7" t="s">
        <v>56</v>
      </c>
      <c r="AT1672" s="47" t="s">
        <v>57</v>
      </c>
      <c r="AU1672" s="47" t="s">
        <v>57</v>
      </c>
    </row>
    <row r="1673" spans="1:47">
      <c r="A1673" s="4" t="s">
        <v>48</v>
      </c>
      <c r="C1673" s="21"/>
      <c r="D1673" s="22" t="s">
        <v>49</v>
      </c>
      <c r="G1673" s="23">
        <v>45097</v>
      </c>
      <c r="H1673" s="24" t="s">
        <v>4950</v>
      </c>
      <c r="J1673" s="28" t="s">
        <v>51</v>
      </c>
      <c r="L1673" s="24" t="s">
        <v>4951</v>
      </c>
      <c r="M1673" s="1" t="str">
        <f>"341202198812250523"</f>
        <v>341202198812250523</v>
      </c>
      <c r="N1673" s="24" t="s">
        <v>4951</v>
      </c>
      <c r="O1673" s="1" t="str">
        <f>"341202198812250523"</f>
        <v>341202198812250523</v>
      </c>
      <c r="P1673" s="23" t="s">
        <v>4952</v>
      </c>
      <c r="Q1673" s="23">
        <v>45098</v>
      </c>
      <c r="R1673" s="32">
        <v>45464</v>
      </c>
      <c r="V1673" s="33">
        <v>100</v>
      </c>
      <c r="W1673" s="28">
        <v>64.29</v>
      </c>
      <c r="X1673" s="34" t="s">
        <v>54</v>
      </c>
      <c r="Y1673" s="33">
        <v>64.29</v>
      </c>
      <c r="AC1673" s="28">
        <v>64.29</v>
      </c>
      <c r="AD1673" s="34" t="s">
        <v>54</v>
      </c>
      <c r="AE1673" s="33">
        <v>64.29</v>
      </c>
      <c r="AN1673" s="7" t="s">
        <v>54</v>
      </c>
      <c r="AO1673" s="7" t="s">
        <v>55</v>
      </c>
      <c r="AP1673" s="7" t="s">
        <v>56</v>
      </c>
      <c r="AT1673" s="47" t="s">
        <v>57</v>
      </c>
      <c r="AU1673" s="47" t="s">
        <v>57</v>
      </c>
    </row>
    <row r="1674" spans="1:47">
      <c r="A1674" s="4" t="s">
        <v>48</v>
      </c>
      <c r="C1674" s="21"/>
      <c r="D1674" s="22" t="s">
        <v>49</v>
      </c>
      <c r="G1674" s="23">
        <v>45096</v>
      </c>
      <c r="H1674" s="24" t="s">
        <v>4953</v>
      </c>
      <c r="J1674" s="28" t="s">
        <v>51</v>
      </c>
      <c r="L1674" s="24" t="s">
        <v>4954</v>
      </c>
      <c r="M1674" s="1" t="str">
        <f>"131023199202142417"</f>
        <v>131023199202142417</v>
      </c>
      <c r="N1674" s="24" t="s">
        <v>4954</v>
      </c>
      <c r="O1674" s="1" t="str">
        <f>"131023199202142417"</f>
        <v>131023199202142417</v>
      </c>
      <c r="P1674" s="23" t="s">
        <v>4955</v>
      </c>
      <c r="Q1674" s="23">
        <v>45219</v>
      </c>
      <c r="R1674" s="32">
        <v>45585</v>
      </c>
      <c r="V1674" s="33">
        <v>100</v>
      </c>
      <c r="W1674" s="28">
        <v>64.29</v>
      </c>
      <c r="X1674" s="34" t="s">
        <v>54</v>
      </c>
      <c r="Y1674" s="33">
        <v>64.29</v>
      </c>
      <c r="AC1674" s="28">
        <v>64.29</v>
      </c>
      <c r="AD1674" s="34" t="s">
        <v>54</v>
      </c>
      <c r="AE1674" s="33">
        <v>64.29</v>
      </c>
      <c r="AN1674" s="7" t="s">
        <v>54</v>
      </c>
      <c r="AO1674" s="7" t="s">
        <v>55</v>
      </c>
      <c r="AP1674" s="7" t="s">
        <v>56</v>
      </c>
      <c r="AT1674" s="47" t="s">
        <v>57</v>
      </c>
      <c r="AU1674" s="47" t="s">
        <v>57</v>
      </c>
    </row>
    <row r="1675" spans="1:47">
      <c r="A1675" s="4" t="s">
        <v>48</v>
      </c>
      <c r="C1675" s="21"/>
      <c r="D1675" s="22" t="s">
        <v>49</v>
      </c>
      <c r="G1675" s="23">
        <v>45096</v>
      </c>
      <c r="H1675" s="24" t="s">
        <v>4956</v>
      </c>
      <c r="J1675" s="28" t="s">
        <v>51</v>
      </c>
      <c r="L1675" s="24" t="s">
        <v>4957</v>
      </c>
      <c r="M1675" s="1" t="str">
        <f>"341202199312301712"</f>
        <v>341202199312301712</v>
      </c>
      <c r="N1675" s="24" t="s">
        <v>4957</v>
      </c>
      <c r="O1675" s="1" t="str">
        <f>"341202199312301712"</f>
        <v>341202199312301712</v>
      </c>
      <c r="P1675" s="23" t="s">
        <v>4958</v>
      </c>
      <c r="Q1675" s="23">
        <v>45097</v>
      </c>
      <c r="R1675" s="32">
        <v>45463</v>
      </c>
      <c r="V1675" s="33">
        <v>100</v>
      </c>
      <c r="W1675" s="28">
        <v>64.29</v>
      </c>
      <c r="X1675" s="34" t="s">
        <v>54</v>
      </c>
      <c r="Y1675" s="33">
        <v>64.29</v>
      </c>
      <c r="AC1675" s="28">
        <v>64.29</v>
      </c>
      <c r="AD1675" s="34" t="s">
        <v>54</v>
      </c>
      <c r="AE1675" s="33">
        <v>64.29</v>
      </c>
      <c r="AN1675" s="7" t="s">
        <v>54</v>
      </c>
      <c r="AO1675" s="7" t="s">
        <v>55</v>
      </c>
      <c r="AP1675" s="7" t="s">
        <v>56</v>
      </c>
      <c r="AT1675" s="47" t="s">
        <v>57</v>
      </c>
      <c r="AU1675" s="47" t="s">
        <v>57</v>
      </c>
    </row>
    <row r="1676" spans="1:47">
      <c r="A1676" s="4" t="s">
        <v>48</v>
      </c>
      <c r="C1676" s="21"/>
      <c r="D1676" s="22" t="s">
        <v>49</v>
      </c>
      <c r="G1676" s="23">
        <v>45098</v>
      </c>
      <c r="H1676" s="24" t="s">
        <v>4959</v>
      </c>
      <c r="J1676" s="28" t="s">
        <v>51</v>
      </c>
      <c r="L1676" s="24" t="s">
        <v>4960</v>
      </c>
      <c r="M1676" s="1" t="str">
        <f>"132825197205272426"</f>
        <v>132825197205272426</v>
      </c>
      <c r="N1676" s="24" t="s">
        <v>4960</v>
      </c>
      <c r="O1676" s="1" t="str">
        <f>"132825197205272426"</f>
        <v>132825197205272426</v>
      </c>
      <c r="P1676" s="23" t="s">
        <v>4961</v>
      </c>
      <c r="Q1676" s="23">
        <v>45099</v>
      </c>
      <c r="R1676" s="32">
        <v>45465</v>
      </c>
      <c r="V1676" s="33">
        <v>100</v>
      </c>
      <c r="W1676" s="28">
        <v>64.29</v>
      </c>
      <c r="X1676" s="34" t="s">
        <v>54</v>
      </c>
      <c r="Y1676" s="33">
        <v>64.29</v>
      </c>
      <c r="AC1676" s="28">
        <v>64.29</v>
      </c>
      <c r="AD1676" s="34" t="s">
        <v>54</v>
      </c>
      <c r="AE1676" s="33">
        <v>64.29</v>
      </c>
      <c r="AN1676" s="7" t="s">
        <v>54</v>
      </c>
      <c r="AO1676" s="7" t="s">
        <v>55</v>
      </c>
      <c r="AP1676" s="7" t="s">
        <v>56</v>
      </c>
      <c r="AT1676" s="47" t="s">
        <v>57</v>
      </c>
      <c r="AU1676" s="47" t="s">
        <v>57</v>
      </c>
    </row>
    <row r="1677" spans="1:47">
      <c r="A1677" s="4" t="s">
        <v>48</v>
      </c>
      <c r="C1677" s="21"/>
      <c r="D1677" s="22" t="s">
        <v>49</v>
      </c>
      <c r="G1677" s="23">
        <v>45087</v>
      </c>
      <c r="H1677" s="24" t="s">
        <v>4962</v>
      </c>
      <c r="J1677" s="28" t="s">
        <v>51</v>
      </c>
      <c r="L1677" s="24" t="s">
        <v>4963</v>
      </c>
      <c r="M1677" s="1" t="str">
        <f>"132825195406122441"</f>
        <v>132825195406122441</v>
      </c>
      <c r="N1677" s="24" t="s">
        <v>4963</v>
      </c>
      <c r="O1677" s="1" t="str">
        <f>"132825195406122441"</f>
        <v>132825195406122441</v>
      </c>
      <c r="P1677" s="23" t="s">
        <v>4964</v>
      </c>
      <c r="Q1677" s="23">
        <v>45088</v>
      </c>
      <c r="R1677" s="32">
        <v>45454</v>
      </c>
      <c r="V1677" s="33">
        <v>100</v>
      </c>
      <c r="W1677" s="28">
        <v>64.29</v>
      </c>
      <c r="X1677" s="34" t="s">
        <v>54</v>
      </c>
      <c r="Y1677" s="33">
        <v>64.29</v>
      </c>
      <c r="AC1677" s="28">
        <v>64.29</v>
      </c>
      <c r="AD1677" s="34" t="s">
        <v>54</v>
      </c>
      <c r="AE1677" s="33">
        <v>64.29</v>
      </c>
      <c r="AN1677" s="7" t="s">
        <v>54</v>
      </c>
      <c r="AO1677" s="7" t="s">
        <v>55</v>
      </c>
      <c r="AP1677" s="7" t="s">
        <v>56</v>
      </c>
      <c r="AT1677" s="47" t="s">
        <v>57</v>
      </c>
      <c r="AU1677" s="47" t="s">
        <v>57</v>
      </c>
    </row>
    <row r="1678" spans="1:47">
      <c r="A1678" s="4" t="s">
        <v>48</v>
      </c>
      <c r="C1678" s="21"/>
      <c r="D1678" s="22" t="s">
        <v>49</v>
      </c>
      <c r="G1678" s="23">
        <v>45085</v>
      </c>
      <c r="H1678" s="24" t="s">
        <v>4965</v>
      </c>
      <c r="J1678" s="28" t="s">
        <v>51</v>
      </c>
      <c r="L1678" s="24" t="s">
        <v>4966</v>
      </c>
      <c r="M1678" s="1" t="str">
        <f>"342122197103192232"</f>
        <v>342122197103192232</v>
      </c>
      <c r="N1678" s="24" t="s">
        <v>4966</v>
      </c>
      <c r="O1678" s="1" t="str">
        <f>"342122197103192232"</f>
        <v>342122197103192232</v>
      </c>
      <c r="P1678" s="23" t="s">
        <v>4967</v>
      </c>
      <c r="Q1678" s="23">
        <v>45291</v>
      </c>
      <c r="R1678" s="32">
        <v>45657</v>
      </c>
      <c r="V1678" s="33">
        <v>100</v>
      </c>
      <c r="W1678" s="28">
        <v>64.29</v>
      </c>
      <c r="X1678" s="34" t="s">
        <v>54</v>
      </c>
      <c r="Y1678" s="33">
        <v>64.29</v>
      </c>
      <c r="AC1678" s="28">
        <v>64.29</v>
      </c>
      <c r="AD1678" s="34" t="s">
        <v>54</v>
      </c>
      <c r="AE1678" s="33">
        <v>64.29</v>
      </c>
      <c r="AN1678" s="7" t="s">
        <v>54</v>
      </c>
      <c r="AO1678" s="7" t="s">
        <v>55</v>
      </c>
      <c r="AP1678" s="7" t="s">
        <v>56</v>
      </c>
      <c r="AT1678" s="47" t="s">
        <v>57</v>
      </c>
      <c r="AU1678" s="47" t="s">
        <v>57</v>
      </c>
    </row>
    <row r="1679" spans="1:47">
      <c r="A1679" s="4" t="s">
        <v>48</v>
      </c>
      <c r="C1679" s="21"/>
      <c r="D1679" s="22" t="s">
        <v>49</v>
      </c>
      <c r="G1679" s="23">
        <v>45085</v>
      </c>
      <c r="H1679" s="24" t="s">
        <v>4968</v>
      </c>
      <c r="J1679" s="28" t="s">
        <v>51</v>
      </c>
      <c r="L1679" s="24" t="s">
        <v>4969</v>
      </c>
      <c r="M1679" s="1" t="str">
        <f>"13282519611205242X"</f>
        <v>13282519611205242X</v>
      </c>
      <c r="N1679" s="24" t="s">
        <v>4969</v>
      </c>
      <c r="O1679" s="1" t="str">
        <f>"13282519611205242X"</f>
        <v>13282519611205242X</v>
      </c>
      <c r="P1679" s="23" t="s">
        <v>4970</v>
      </c>
      <c r="Q1679" s="23">
        <v>45086</v>
      </c>
      <c r="R1679" s="32">
        <v>45452</v>
      </c>
      <c r="V1679" s="33">
        <v>100</v>
      </c>
      <c r="W1679" s="28">
        <v>64.29</v>
      </c>
      <c r="X1679" s="34" t="s">
        <v>54</v>
      </c>
      <c r="Y1679" s="33">
        <v>64.29</v>
      </c>
      <c r="AC1679" s="28">
        <v>64.29</v>
      </c>
      <c r="AD1679" s="34" t="s">
        <v>54</v>
      </c>
      <c r="AE1679" s="33">
        <v>64.29</v>
      </c>
      <c r="AN1679" s="7" t="s">
        <v>54</v>
      </c>
      <c r="AO1679" s="7" t="s">
        <v>55</v>
      </c>
      <c r="AP1679" s="7" t="s">
        <v>56</v>
      </c>
      <c r="AT1679" s="47" t="s">
        <v>57</v>
      </c>
      <c r="AU1679" s="47" t="s">
        <v>57</v>
      </c>
    </row>
    <row r="1680" spans="1:47">
      <c r="A1680" s="4" t="s">
        <v>48</v>
      </c>
      <c r="C1680" s="21"/>
      <c r="D1680" s="22" t="s">
        <v>49</v>
      </c>
      <c r="G1680" s="23">
        <v>45086</v>
      </c>
      <c r="H1680" s="24" t="s">
        <v>4971</v>
      </c>
      <c r="J1680" s="28" t="s">
        <v>51</v>
      </c>
      <c r="L1680" s="24" t="s">
        <v>4972</v>
      </c>
      <c r="M1680" s="1" t="str">
        <f>"132825197004292412"</f>
        <v>132825197004292412</v>
      </c>
      <c r="N1680" s="24" t="s">
        <v>4972</v>
      </c>
      <c r="O1680" s="1" t="str">
        <f>"132825197004292412"</f>
        <v>132825197004292412</v>
      </c>
      <c r="P1680" s="23" t="s">
        <v>4973</v>
      </c>
      <c r="Q1680" s="23">
        <v>45207</v>
      </c>
      <c r="R1680" s="32">
        <v>45573</v>
      </c>
      <c r="V1680" s="33">
        <v>100</v>
      </c>
      <c r="W1680" s="28">
        <v>64.29</v>
      </c>
      <c r="X1680" s="34" t="s">
        <v>54</v>
      </c>
      <c r="Y1680" s="33">
        <v>64.29</v>
      </c>
      <c r="AC1680" s="28">
        <v>64.29</v>
      </c>
      <c r="AD1680" s="34" t="s">
        <v>54</v>
      </c>
      <c r="AE1680" s="33">
        <v>64.29</v>
      </c>
      <c r="AN1680" s="7" t="s">
        <v>54</v>
      </c>
      <c r="AO1680" s="7" t="s">
        <v>55</v>
      </c>
      <c r="AP1680" s="7" t="s">
        <v>56</v>
      </c>
      <c r="AT1680" s="47" t="s">
        <v>57</v>
      </c>
      <c r="AU1680" s="47" t="s">
        <v>57</v>
      </c>
    </row>
    <row r="1681" spans="1:47">
      <c r="A1681" s="4" t="s">
        <v>48</v>
      </c>
      <c r="C1681" s="21"/>
      <c r="D1681" s="22" t="s">
        <v>49</v>
      </c>
      <c r="G1681" s="23">
        <v>45085</v>
      </c>
      <c r="H1681" s="24" t="s">
        <v>4974</v>
      </c>
      <c r="J1681" s="28" t="s">
        <v>51</v>
      </c>
      <c r="L1681" s="24" t="s">
        <v>4975</v>
      </c>
      <c r="M1681" s="1" t="str">
        <f>"132825195606132433"</f>
        <v>132825195606132433</v>
      </c>
      <c r="N1681" s="24" t="s">
        <v>4975</v>
      </c>
      <c r="O1681" s="1" t="str">
        <f>"132825195606132433"</f>
        <v>132825195606132433</v>
      </c>
      <c r="P1681" s="23" t="s">
        <v>4976</v>
      </c>
      <c r="Q1681" s="23">
        <v>45208</v>
      </c>
      <c r="R1681" s="32">
        <v>45574</v>
      </c>
      <c r="V1681" s="33">
        <v>100</v>
      </c>
      <c r="W1681" s="28">
        <v>64.29</v>
      </c>
      <c r="X1681" s="34" t="s">
        <v>54</v>
      </c>
      <c r="Y1681" s="33">
        <v>64.29</v>
      </c>
      <c r="AC1681" s="28">
        <v>64.29</v>
      </c>
      <c r="AD1681" s="34" t="s">
        <v>54</v>
      </c>
      <c r="AE1681" s="33">
        <v>64.29</v>
      </c>
      <c r="AN1681" s="7" t="s">
        <v>54</v>
      </c>
      <c r="AO1681" s="7" t="s">
        <v>55</v>
      </c>
      <c r="AP1681" s="7" t="s">
        <v>56</v>
      </c>
      <c r="AT1681" s="47" t="s">
        <v>57</v>
      </c>
      <c r="AU1681" s="47" t="s">
        <v>57</v>
      </c>
    </row>
    <row r="1682" spans="1:47">
      <c r="A1682" s="4" t="s">
        <v>48</v>
      </c>
      <c r="C1682" s="21"/>
      <c r="D1682" s="22" t="s">
        <v>49</v>
      </c>
      <c r="G1682" s="23">
        <v>45102</v>
      </c>
      <c r="H1682" s="24" t="s">
        <v>4977</v>
      </c>
      <c r="J1682" s="28" t="s">
        <v>51</v>
      </c>
      <c r="L1682" s="24" t="s">
        <v>4978</v>
      </c>
      <c r="M1682" s="1" t="str">
        <f>"132825196209052434"</f>
        <v>132825196209052434</v>
      </c>
      <c r="N1682" s="24" t="s">
        <v>4978</v>
      </c>
      <c r="O1682" s="1" t="str">
        <f>"132825196209052434"</f>
        <v>132825196209052434</v>
      </c>
      <c r="P1682" s="23" t="s">
        <v>4979</v>
      </c>
      <c r="Q1682" s="23">
        <v>45103</v>
      </c>
      <c r="R1682" s="32">
        <v>45469</v>
      </c>
      <c r="V1682" s="33">
        <v>200</v>
      </c>
      <c r="W1682" s="28">
        <v>64.29</v>
      </c>
      <c r="X1682" s="34" t="s">
        <v>54</v>
      </c>
      <c r="Y1682" s="33">
        <v>128.58</v>
      </c>
      <c r="AC1682" s="28">
        <v>64.29</v>
      </c>
      <c r="AD1682" s="34" t="s">
        <v>54</v>
      </c>
      <c r="AE1682" s="33">
        <v>128.58</v>
      </c>
      <c r="AN1682" s="7" t="s">
        <v>54</v>
      </c>
      <c r="AO1682" s="7" t="s">
        <v>55</v>
      </c>
      <c r="AP1682" s="7" t="s">
        <v>56</v>
      </c>
      <c r="AT1682" s="47" t="s">
        <v>57</v>
      </c>
      <c r="AU1682" s="47" t="s">
        <v>57</v>
      </c>
    </row>
    <row r="1683" spans="1:47">
      <c r="A1683" s="4" t="s">
        <v>48</v>
      </c>
      <c r="C1683" s="21"/>
      <c r="D1683" s="22" t="s">
        <v>49</v>
      </c>
      <c r="G1683" s="23">
        <v>45102</v>
      </c>
      <c r="H1683" s="24" t="s">
        <v>4980</v>
      </c>
      <c r="J1683" s="28" t="s">
        <v>51</v>
      </c>
      <c r="L1683" s="24" t="s">
        <v>4981</v>
      </c>
      <c r="M1683" s="1" t="str">
        <f>"230226197203121021"</f>
        <v>230226197203121021</v>
      </c>
      <c r="N1683" s="24" t="s">
        <v>4981</v>
      </c>
      <c r="O1683" s="1" t="str">
        <f>"230226197203121021"</f>
        <v>230226197203121021</v>
      </c>
      <c r="P1683" s="23" t="s">
        <v>4982</v>
      </c>
      <c r="Q1683" s="23">
        <v>45103</v>
      </c>
      <c r="R1683" s="32">
        <v>45469</v>
      </c>
      <c r="V1683" s="33">
        <v>200</v>
      </c>
      <c r="W1683" s="28">
        <v>64.29</v>
      </c>
      <c r="X1683" s="34" t="s">
        <v>54</v>
      </c>
      <c r="Y1683" s="33">
        <v>128.58</v>
      </c>
      <c r="AC1683" s="28">
        <v>64.29</v>
      </c>
      <c r="AD1683" s="34" t="s">
        <v>54</v>
      </c>
      <c r="AE1683" s="33">
        <v>128.58</v>
      </c>
      <c r="AN1683" s="7" t="s">
        <v>54</v>
      </c>
      <c r="AO1683" s="7" t="s">
        <v>55</v>
      </c>
      <c r="AP1683" s="7" t="s">
        <v>56</v>
      </c>
      <c r="AT1683" s="47" t="s">
        <v>57</v>
      </c>
      <c r="AU1683" s="47" t="s">
        <v>57</v>
      </c>
    </row>
    <row r="1684" spans="1:47">
      <c r="A1684" s="4" t="s">
        <v>48</v>
      </c>
      <c r="C1684" s="21"/>
      <c r="D1684" s="22" t="s">
        <v>49</v>
      </c>
      <c r="G1684" s="23">
        <v>45101</v>
      </c>
      <c r="H1684" s="24" t="s">
        <v>4983</v>
      </c>
      <c r="J1684" s="28" t="s">
        <v>51</v>
      </c>
      <c r="L1684" s="24" t="s">
        <v>4984</v>
      </c>
      <c r="M1684" s="1" t="str">
        <f>"132825195905052417"</f>
        <v>132825195905052417</v>
      </c>
      <c r="N1684" s="24" t="s">
        <v>4984</v>
      </c>
      <c r="O1684" s="1" t="str">
        <f>"132825195905052417"</f>
        <v>132825195905052417</v>
      </c>
      <c r="P1684" s="23" t="s">
        <v>4985</v>
      </c>
      <c r="Q1684" s="23">
        <v>45170</v>
      </c>
      <c r="R1684" s="32">
        <v>45536</v>
      </c>
      <c r="V1684" s="33">
        <v>200</v>
      </c>
      <c r="W1684" s="28">
        <v>64.29</v>
      </c>
      <c r="X1684" s="34" t="s">
        <v>54</v>
      </c>
      <c r="Y1684" s="33">
        <v>128.58</v>
      </c>
      <c r="AC1684" s="28">
        <v>64.29</v>
      </c>
      <c r="AD1684" s="34" t="s">
        <v>54</v>
      </c>
      <c r="AE1684" s="33">
        <v>128.58</v>
      </c>
      <c r="AN1684" s="7" t="s">
        <v>54</v>
      </c>
      <c r="AO1684" s="7" t="s">
        <v>55</v>
      </c>
      <c r="AP1684" s="7" t="s">
        <v>56</v>
      </c>
      <c r="AT1684" s="47" t="s">
        <v>57</v>
      </c>
      <c r="AU1684" s="47" t="s">
        <v>57</v>
      </c>
    </row>
    <row r="1685" spans="1:47">
      <c r="A1685" s="4" t="s">
        <v>48</v>
      </c>
      <c r="C1685" s="21"/>
      <c r="D1685" s="22" t="s">
        <v>49</v>
      </c>
      <c r="G1685" s="23">
        <v>45098</v>
      </c>
      <c r="H1685" s="24" t="s">
        <v>4986</v>
      </c>
      <c r="J1685" s="28" t="s">
        <v>51</v>
      </c>
      <c r="L1685" s="24" t="s">
        <v>4987</v>
      </c>
      <c r="M1685" s="1" t="str">
        <f>"13282519650921241X"</f>
        <v>13282519650921241X</v>
      </c>
      <c r="N1685" s="24" t="s">
        <v>4987</v>
      </c>
      <c r="O1685" s="1" t="str">
        <f>"13282519650921241X"</f>
        <v>13282519650921241X</v>
      </c>
      <c r="P1685" s="23" t="s">
        <v>4988</v>
      </c>
      <c r="Q1685" s="23">
        <v>45099</v>
      </c>
      <c r="R1685" s="32">
        <v>45465</v>
      </c>
      <c r="V1685" s="33">
        <v>200</v>
      </c>
      <c r="W1685" s="28">
        <v>64.29</v>
      </c>
      <c r="X1685" s="34" t="s">
        <v>54</v>
      </c>
      <c r="Y1685" s="33">
        <v>128.58</v>
      </c>
      <c r="AC1685" s="28">
        <v>64.29</v>
      </c>
      <c r="AD1685" s="34" t="s">
        <v>54</v>
      </c>
      <c r="AE1685" s="33">
        <v>128.58</v>
      </c>
      <c r="AN1685" s="7" t="s">
        <v>54</v>
      </c>
      <c r="AO1685" s="7" t="s">
        <v>55</v>
      </c>
      <c r="AP1685" s="7" t="s">
        <v>56</v>
      </c>
      <c r="AT1685" s="47" t="s">
        <v>57</v>
      </c>
      <c r="AU1685" s="47" t="s">
        <v>57</v>
      </c>
    </row>
    <row r="1686" spans="1:47">
      <c r="A1686" s="4" t="s">
        <v>48</v>
      </c>
      <c r="C1686" s="21"/>
      <c r="D1686" s="22" t="s">
        <v>49</v>
      </c>
      <c r="G1686" s="23">
        <v>45098</v>
      </c>
      <c r="H1686" s="24" t="s">
        <v>4989</v>
      </c>
      <c r="J1686" s="28" t="s">
        <v>51</v>
      </c>
      <c r="L1686" s="24" t="s">
        <v>4990</v>
      </c>
      <c r="M1686" s="1" t="str">
        <f>"132825195805142415"</f>
        <v>132825195805142415</v>
      </c>
      <c r="N1686" s="24" t="s">
        <v>4990</v>
      </c>
      <c r="O1686" s="1" t="str">
        <f>"132825195805142415"</f>
        <v>132825195805142415</v>
      </c>
      <c r="P1686" s="23" t="s">
        <v>4991</v>
      </c>
      <c r="Q1686" s="23">
        <v>45291</v>
      </c>
      <c r="R1686" s="32">
        <v>45657</v>
      </c>
      <c r="V1686" s="33">
        <v>200</v>
      </c>
      <c r="W1686" s="28">
        <v>64.29</v>
      </c>
      <c r="X1686" s="34" t="s">
        <v>54</v>
      </c>
      <c r="Y1686" s="33">
        <v>128.58</v>
      </c>
      <c r="AC1686" s="28">
        <v>64.29</v>
      </c>
      <c r="AD1686" s="34" t="s">
        <v>54</v>
      </c>
      <c r="AE1686" s="33">
        <v>128.58</v>
      </c>
      <c r="AN1686" s="7" t="s">
        <v>54</v>
      </c>
      <c r="AO1686" s="7" t="s">
        <v>55</v>
      </c>
      <c r="AP1686" s="7" t="s">
        <v>56</v>
      </c>
      <c r="AT1686" s="47" t="s">
        <v>57</v>
      </c>
      <c r="AU1686" s="47" t="s">
        <v>57</v>
      </c>
    </row>
    <row r="1687" spans="1:47">
      <c r="A1687" s="4" t="s">
        <v>48</v>
      </c>
      <c r="C1687" s="21"/>
      <c r="D1687" s="22" t="s">
        <v>49</v>
      </c>
      <c r="G1687" s="23">
        <v>45083</v>
      </c>
      <c r="H1687" s="24" t="s">
        <v>4992</v>
      </c>
      <c r="J1687" s="28" t="s">
        <v>51</v>
      </c>
      <c r="L1687" s="24" t="s">
        <v>4993</v>
      </c>
      <c r="M1687" s="1" t="str">
        <f>"132825196505242419"</f>
        <v>132825196505242419</v>
      </c>
      <c r="N1687" s="24" t="s">
        <v>4993</v>
      </c>
      <c r="O1687" s="1" t="str">
        <f>"132825196505242419"</f>
        <v>132825196505242419</v>
      </c>
      <c r="P1687" s="23" t="s">
        <v>4994</v>
      </c>
      <c r="Q1687" s="23">
        <v>45084</v>
      </c>
      <c r="R1687" s="32">
        <v>45450</v>
      </c>
      <c r="V1687" s="33">
        <v>50</v>
      </c>
      <c r="W1687" s="28">
        <v>64.29</v>
      </c>
      <c r="X1687" s="34" t="s">
        <v>54</v>
      </c>
      <c r="Y1687" s="33">
        <v>32.15</v>
      </c>
      <c r="AC1687" s="28">
        <v>64.29</v>
      </c>
      <c r="AD1687" s="34" t="s">
        <v>54</v>
      </c>
      <c r="AE1687" s="33">
        <v>32.15</v>
      </c>
      <c r="AN1687" s="7" t="s">
        <v>54</v>
      </c>
      <c r="AO1687" s="7" t="s">
        <v>55</v>
      </c>
      <c r="AP1687" s="7" t="s">
        <v>56</v>
      </c>
      <c r="AT1687" s="47" t="s">
        <v>57</v>
      </c>
      <c r="AU1687" s="47" t="s">
        <v>57</v>
      </c>
    </row>
    <row r="1688" spans="1:47">
      <c r="A1688" s="4" t="s">
        <v>48</v>
      </c>
      <c r="C1688" s="21"/>
      <c r="D1688" s="22" t="s">
        <v>49</v>
      </c>
      <c r="G1688" s="23">
        <v>45083</v>
      </c>
      <c r="H1688" s="24" t="s">
        <v>4995</v>
      </c>
      <c r="J1688" s="28" t="s">
        <v>51</v>
      </c>
      <c r="L1688" s="24" t="s">
        <v>4996</v>
      </c>
      <c r="M1688" s="1" t="str">
        <f>"341221198605281780"</f>
        <v>341221198605281780</v>
      </c>
      <c r="N1688" s="24" t="s">
        <v>4996</v>
      </c>
      <c r="O1688" s="1" t="str">
        <f>"341221198605281780"</f>
        <v>341221198605281780</v>
      </c>
      <c r="P1688" s="23" t="s">
        <v>4997</v>
      </c>
      <c r="Q1688" s="23">
        <v>45084</v>
      </c>
      <c r="R1688" s="32">
        <v>45450</v>
      </c>
      <c r="V1688" s="33">
        <v>50</v>
      </c>
      <c r="W1688" s="28">
        <v>64.29</v>
      </c>
      <c r="X1688" s="34" t="s">
        <v>54</v>
      </c>
      <c r="Y1688" s="33">
        <v>32.15</v>
      </c>
      <c r="AC1688" s="28">
        <v>64.29</v>
      </c>
      <c r="AD1688" s="34" t="s">
        <v>54</v>
      </c>
      <c r="AE1688" s="33">
        <v>32.15</v>
      </c>
      <c r="AN1688" s="7" t="s">
        <v>54</v>
      </c>
      <c r="AO1688" s="7" t="s">
        <v>55</v>
      </c>
      <c r="AP1688" s="7" t="s">
        <v>56</v>
      </c>
      <c r="AT1688" s="47" t="s">
        <v>57</v>
      </c>
      <c r="AU1688" s="47" t="s">
        <v>57</v>
      </c>
    </row>
    <row r="1689" spans="1:47">
      <c r="A1689" s="4" t="s">
        <v>48</v>
      </c>
      <c r="C1689" s="21"/>
      <c r="D1689" s="22" t="s">
        <v>49</v>
      </c>
      <c r="G1689" s="23">
        <v>45084</v>
      </c>
      <c r="H1689" s="24" t="s">
        <v>4998</v>
      </c>
      <c r="J1689" s="28" t="s">
        <v>51</v>
      </c>
      <c r="L1689" s="24" t="s">
        <v>4999</v>
      </c>
      <c r="M1689" s="1" t="str">
        <f>"341225199707128947"</f>
        <v>341225199707128947</v>
      </c>
      <c r="N1689" s="24" t="s">
        <v>4999</v>
      </c>
      <c r="O1689" s="1" t="str">
        <f>"341225199707128947"</f>
        <v>341225199707128947</v>
      </c>
      <c r="P1689" s="23" t="s">
        <v>5000</v>
      </c>
      <c r="Q1689" s="23">
        <v>45085</v>
      </c>
      <c r="R1689" s="32">
        <v>45451</v>
      </c>
      <c r="V1689" s="33">
        <v>50</v>
      </c>
      <c r="W1689" s="28">
        <v>64.29</v>
      </c>
      <c r="X1689" s="34" t="s">
        <v>54</v>
      </c>
      <c r="Y1689" s="33">
        <v>32.15</v>
      </c>
      <c r="AC1689" s="28">
        <v>64.29</v>
      </c>
      <c r="AD1689" s="34" t="s">
        <v>54</v>
      </c>
      <c r="AE1689" s="33">
        <v>32.15</v>
      </c>
      <c r="AN1689" s="7" t="s">
        <v>54</v>
      </c>
      <c r="AO1689" s="7" t="s">
        <v>55</v>
      </c>
      <c r="AP1689" s="7" t="s">
        <v>56</v>
      </c>
      <c r="AT1689" s="47" t="s">
        <v>57</v>
      </c>
      <c r="AU1689" s="47" t="s">
        <v>57</v>
      </c>
    </row>
    <row r="1690" spans="1:47">
      <c r="A1690" s="4" t="s">
        <v>48</v>
      </c>
      <c r="C1690" s="21"/>
      <c r="D1690" s="22" t="s">
        <v>49</v>
      </c>
      <c r="G1690" s="23">
        <v>45083</v>
      </c>
      <c r="H1690" s="24" t="s">
        <v>5001</v>
      </c>
      <c r="J1690" s="28" t="s">
        <v>51</v>
      </c>
      <c r="L1690" s="24" t="s">
        <v>5002</v>
      </c>
      <c r="M1690" s="1" t="str">
        <f>"341202199501201518"</f>
        <v>341202199501201518</v>
      </c>
      <c r="N1690" s="24" t="s">
        <v>5002</v>
      </c>
      <c r="O1690" s="1" t="str">
        <f>"341202199501201518"</f>
        <v>341202199501201518</v>
      </c>
      <c r="P1690" s="23" t="s">
        <v>5003</v>
      </c>
      <c r="Q1690" s="23">
        <v>45084</v>
      </c>
      <c r="R1690" s="32">
        <v>45450</v>
      </c>
      <c r="V1690" s="33">
        <v>50</v>
      </c>
      <c r="W1690" s="28">
        <v>64.29</v>
      </c>
      <c r="X1690" s="34" t="s">
        <v>54</v>
      </c>
      <c r="Y1690" s="33">
        <v>32.15</v>
      </c>
      <c r="AC1690" s="28">
        <v>64.29</v>
      </c>
      <c r="AD1690" s="34" t="s">
        <v>54</v>
      </c>
      <c r="AE1690" s="33">
        <v>32.15</v>
      </c>
      <c r="AN1690" s="7" t="s">
        <v>54</v>
      </c>
      <c r="AO1690" s="7" t="s">
        <v>55</v>
      </c>
      <c r="AP1690" s="7" t="s">
        <v>56</v>
      </c>
      <c r="AT1690" s="47" t="s">
        <v>57</v>
      </c>
      <c r="AU1690" s="47" t="s">
        <v>57</v>
      </c>
    </row>
    <row r="1691" spans="1:47">
      <c r="A1691" s="4" t="s">
        <v>48</v>
      </c>
      <c r="C1691" s="21"/>
      <c r="D1691" s="22" t="s">
        <v>49</v>
      </c>
      <c r="G1691" s="23">
        <v>45083</v>
      </c>
      <c r="H1691" s="24" t="s">
        <v>5004</v>
      </c>
      <c r="J1691" s="28" t="s">
        <v>51</v>
      </c>
      <c r="L1691" s="24" t="s">
        <v>5005</v>
      </c>
      <c r="M1691" s="1" t="str">
        <f>"34122119971213203X"</f>
        <v>34122119971213203X</v>
      </c>
      <c r="N1691" s="24" t="s">
        <v>5005</v>
      </c>
      <c r="O1691" s="1" t="str">
        <f>"34122119971213203X"</f>
        <v>34122119971213203X</v>
      </c>
      <c r="P1691" s="23" t="s">
        <v>5006</v>
      </c>
      <c r="Q1691" s="23">
        <v>45084</v>
      </c>
      <c r="R1691" s="32">
        <v>45450</v>
      </c>
      <c r="V1691" s="33">
        <v>50</v>
      </c>
      <c r="W1691" s="28">
        <v>64.29</v>
      </c>
      <c r="X1691" s="34" t="s">
        <v>54</v>
      </c>
      <c r="Y1691" s="33">
        <v>32.15</v>
      </c>
      <c r="AC1691" s="28">
        <v>64.29</v>
      </c>
      <c r="AD1691" s="34" t="s">
        <v>54</v>
      </c>
      <c r="AE1691" s="33">
        <v>32.15</v>
      </c>
      <c r="AN1691" s="7" t="s">
        <v>54</v>
      </c>
      <c r="AO1691" s="7" t="s">
        <v>55</v>
      </c>
      <c r="AP1691" s="7" t="s">
        <v>56</v>
      </c>
      <c r="AT1691" s="47" t="s">
        <v>57</v>
      </c>
      <c r="AU1691" s="47" t="s">
        <v>57</v>
      </c>
    </row>
    <row r="1692" spans="1:47">
      <c r="A1692" s="4" t="s">
        <v>48</v>
      </c>
      <c r="C1692" s="21"/>
      <c r="D1692" s="22" t="s">
        <v>49</v>
      </c>
      <c r="G1692" s="23">
        <v>45096</v>
      </c>
      <c r="H1692" s="24" t="s">
        <v>5007</v>
      </c>
      <c r="J1692" s="28" t="s">
        <v>51</v>
      </c>
      <c r="L1692" s="24" t="s">
        <v>5008</v>
      </c>
      <c r="M1692" s="1" t="str">
        <f>"341203199703264038"</f>
        <v>341203199703264038</v>
      </c>
      <c r="N1692" s="24" t="s">
        <v>5008</v>
      </c>
      <c r="O1692" s="1" t="str">
        <f>"341203199703264038"</f>
        <v>341203199703264038</v>
      </c>
      <c r="P1692" s="23" t="s">
        <v>5009</v>
      </c>
      <c r="Q1692" s="23">
        <v>45097</v>
      </c>
      <c r="R1692" s="32">
        <v>45463</v>
      </c>
      <c r="V1692" s="33">
        <v>100</v>
      </c>
      <c r="W1692" s="28">
        <v>64.29</v>
      </c>
      <c r="X1692" s="34" t="s">
        <v>54</v>
      </c>
      <c r="Y1692" s="33">
        <v>64.29</v>
      </c>
      <c r="AC1692" s="28">
        <v>64.29</v>
      </c>
      <c r="AD1692" s="34" t="s">
        <v>54</v>
      </c>
      <c r="AE1692" s="33">
        <v>64.29</v>
      </c>
      <c r="AN1692" s="7" t="s">
        <v>54</v>
      </c>
      <c r="AO1692" s="7" t="s">
        <v>55</v>
      </c>
      <c r="AP1692" s="7" t="s">
        <v>56</v>
      </c>
      <c r="AT1692" s="47" t="s">
        <v>57</v>
      </c>
      <c r="AU1692" s="47" t="s">
        <v>57</v>
      </c>
    </row>
    <row r="1693" spans="1:47">
      <c r="A1693" s="4" t="s">
        <v>48</v>
      </c>
      <c r="C1693" s="21"/>
      <c r="D1693" s="22" t="s">
        <v>49</v>
      </c>
      <c r="G1693" s="23">
        <v>45097</v>
      </c>
      <c r="H1693" s="24" t="s">
        <v>5010</v>
      </c>
      <c r="J1693" s="28" t="s">
        <v>51</v>
      </c>
      <c r="L1693" s="24" t="s">
        <v>5011</v>
      </c>
      <c r="M1693" s="1" t="str">
        <f>"341225198808240028"</f>
        <v>341225198808240028</v>
      </c>
      <c r="N1693" s="24" t="s">
        <v>5011</v>
      </c>
      <c r="O1693" s="1" t="str">
        <f>"341225198808240028"</f>
        <v>341225198808240028</v>
      </c>
      <c r="P1693" s="23" t="s">
        <v>5012</v>
      </c>
      <c r="Q1693" s="23">
        <v>45098</v>
      </c>
      <c r="R1693" s="32">
        <v>45464</v>
      </c>
      <c r="V1693" s="33">
        <v>100</v>
      </c>
      <c r="W1693" s="28">
        <v>64.29</v>
      </c>
      <c r="X1693" s="34" t="s">
        <v>54</v>
      </c>
      <c r="Y1693" s="33">
        <v>64.29</v>
      </c>
      <c r="AC1693" s="28">
        <v>64.29</v>
      </c>
      <c r="AD1693" s="34" t="s">
        <v>54</v>
      </c>
      <c r="AE1693" s="33">
        <v>64.29</v>
      </c>
      <c r="AN1693" s="7" t="s">
        <v>54</v>
      </c>
      <c r="AO1693" s="7" t="s">
        <v>55</v>
      </c>
      <c r="AP1693" s="7" t="s">
        <v>56</v>
      </c>
      <c r="AT1693" s="47" t="s">
        <v>57</v>
      </c>
      <c r="AU1693" s="47" t="s">
        <v>57</v>
      </c>
    </row>
    <row r="1694" spans="1:47">
      <c r="A1694" s="4" t="s">
        <v>48</v>
      </c>
      <c r="C1694" s="21"/>
      <c r="D1694" s="22" t="s">
        <v>49</v>
      </c>
      <c r="G1694" s="23">
        <v>45096</v>
      </c>
      <c r="H1694" s="24" t="s">
        <v>5013</v>
      </c>
      <c r="J1694" s="28" t="s">
        <v>51</v>
      </c>
      <c r="L1694" s="24" t="s">
        <v>5014</v>
      </c>
      <c r="M1694" s="1" t="str">
        <f>"341225199110177041"</f>
        <v>341225199110177041</v>
      </c>
      <c r="N1694" s="24" t="s">
        <v>5014</v>
      </c>
      <c r="O1694" s="1" t="str">
        <f>"341225199110177041"</f>
        <v>341225199110177041</v>
      </c>
      <c r="P1694" s="23" t="s">
        <v>5015</v>
      </c>
      <c r="Q1694" s="23">
        <v>45250</v>
      </c>
      <c r="R1694" s="32">
        <v>45616</v>
      </c>
      <c r="V1694" s="33">
        <v>100</v>
      </c>
      <c r="W1694" s="28">
        <v>64.29</v>
      </c>
      <c r="X1694" s="34" t="s">
        <v>54</v>
      </c>
      <c r="Y1694" s="33">
        <v>64.29</v>
      </c>
      <c r="AC1694" s="28">
        <v>64.29</v>
      </c>
      <c r="AD1694" s="34" t="s">
        <v>54</v>
      </c>
      <c r="AE1694" s="33">
        <v>64.29</v>
      </c>
      <c r="AN1694" s="7" t="s">
        <v>54</v>
      </c>
      <c r="AO1694" s="7" t="s">
        <v>55</v>
      </c>
      <c r="AP1694" s="7" t="s">
        <v>56</v>
      </c>
      <c r="AT1694" s="47" t="s">
        <v>57</v>
      </c>
      <c r="AU1694" s="47" t="s">
        <v>57</v>
      </c>
    </row>
    <row r="1695" spans="1:47">
      <c r="A1695" s="4" t="s">
        <v>48</v>
      </c>
      <c r="C1695" s="21"/>
      <c r="D1695" s="22" t="s">
        <v>49</v>
      </c>
      <c r="G1695" s="23">
        <v>45093</v>
      </c>
      <c r="H1695" s="24" t="s">
        <v>5016</v>
      </c>
      <c r="J1695" s="28" t="s">
        <v>51</v>
      </c>
      <c r="L1695" s="24" t="s">
        <v>5017</v>
      </c>
      <c r="M1695" s="1" t="str">
        <f>"341225198307083159"</f>
        <v>341225198307083159</v>
      </c>
      <c r="N1695" s="24" t="s">
        <v>5017</v>
      </c>
      <c r="O1695" s="1" t="str">
        <f>"341225198307083159"</f>
        <v>341225198307083159</v>
      </c>
      <c r="P1695" s="23" t="s">
        <v>5018</v>
      </c>
      <c r="Q1695" s="23">
        <v>45094</v>
      </c>
      <c r="R1695" s="32">
        <v>45460</v>
      </c>
      <c r="V1695" s="33">
        <v>100</v>
      </c>
      <c r="W1695" s="28">
        <v>64.29</v>
      </c>
      <c r="X1695" s="34" t="s">
        <v>54</v>
      </c>
      <c r="Y1695" s="33">
        <v>64.29</v>
      </c>
      <c r="AC1695" s="28">
        <v>64.29</v>
      </c>
      <c r="AD1695" s="34" t="s">
        <v>54</v>
      </c>
      <c r="AE1695" s="33">
        <v>64.29</v>
      </c>
      <c r="AN1695" s="7" t="s">
        <v>54</v>
      </c>
      <c r="AO1695" s="7" t="s">
        <v>55</v>
      </c>
      <c r="AP1695" s="7" t="s">
        <v>56</v>
      </c>
      <c r="AT1695" s="47" t="s">
        <v>57</v>
      </c>
      <c r="AU1695" s="47" t="s">
        <v>57</v>
      </c>
    </row>
    <row r="1696" spans="1:47">
      <c r="A1696" s="4" t="s">
        <v>48</v>
      </c>
      <c r="C1696" s="21"/>
      <c r="D1696" s="22" t="s">
        <v>49</v>
      </c>
      <c r="G1696" s="23">
        <v>45084</v>
      </c>
      <c r="H1696" s="24" t="s">
        <v>5019</v>
      </c>
      <c r="J1696" s="28" t="s">
        <v>51</v>
      </c>
      <c r="L1696" s="24" t="s">
        <v>5020</v>
      </c>
      <c r="M1696" s="1" t="str">
        <f>"152324199103175827"</f>
        <v>152324199103175827</v>
      </c>
      <c r="N1696" s="24" t="s">
        <v>5020</v>
      </c>
      <c r="O1696" s="1" t="str">
        <f>"152324199103175827"</f>
        <v>152324199103175827</v>
      </c>
      <c r="P1696" s="23" t="s">
        <v>5021</v>
      </c>
      <c r="Q1696" s="23">
        <v>45268</v>
      </c>
      <c r="R1696" s="32">
        <v>45634</v>
      </c>
      <c r="V1696" s="33">
        <v>100</v>
      </c>
      <c r="W1696" s="28">
        <v>64.29</v>
      </c>
      <c r="X1696" s="34" t="s">
        <v>54</v>
      </c>
      <c r="Y1696" s="33">
        <v>64.29</v>
      </c>
      <c r="AC1696" s="28">
        <v>64.29</v>
      </c>
      <c r="AD1696" s="34" t="s">
        <v>54</v>
      </c>
      <c r="AE1696" s="33">
        <v>64.29</v>
      </c>
      <c r="AN1696" s="7" t="s">
        <v>54</v>
      </c>
      <c r="AO1696" s="7" t="s">
        <v>55</v>
      </c>
      <c r="AP1696" s="7" t="s">
        <v>56</v>
      </c>
      <c r="AT1696" s="47" t="s">
        <v>57</v>
      </c>
      <c r="AU1696" s="47" t="s">
        <v>57</v>
      </c>
    </row>
    <row r="1697" spans="1:47">
      <c r="A1697" s="4" t="s">
        <v>48</v>
      </c>
      <c r="C1697" s="21"/>
      <c r="D1697" s="22" t="s">
        <v>49</v>
      </c>
      <c r="G1697" s="23">
        <v>45096</v>
      </c>
      <c r="H1697" s="24" t="s">
        <v>5022</v>
      </c>
      <c r="J1697" s="28" t="s">
        <v>51</v>
      </c>
      <c r="L1697" s="24" t="s">
        <v>4942</v>
      </c>
      <c r="M1697" s="1" t="str">
        <f>"130684199302123277"</f>
        <v>130684199302123277</v>
      </c>
      <c r="N1697" s="24" t="s">
        <v>4942</v>
      </c>
      <c r="O1697" s="1" t="str">
        <f>"130684199302123277"</f>
        <v>130684199302123277</v>
      </c>
      <c r="P1697" s="23" t="s">
        <v>5023</v>
      </c>
      <c r="Q1697" s="23">
        <v>45097</v>
      </c>
      <c r="R1697" s="32">
        <v>45463</v>
      </c>
      <c r="V1697" s="33">
        <v>200</v>
      </c>
      <c r="W1697" s="28">
        <v>64.29</v>
      </c>
      <c r="X1697" s="34" t="s">
        <v>54</v>
      </c>
      <c r="Y1697" s="33">
        <v>128.58</v>
      </c>
      <c r="AC1697" s="28">
        <v>64.29</v>
      </c>
      <c r="AD1697" s="34" t="s">
        <v>54</v>
      </c>
      <c r="AE1697" s="33">
        <v>128.58</v>
      </c>
      <c r="AN1697" s="7" t="s">
        <v>54</v>
      </c>
      <c r="AO1697" s="7" t="s">
        <v>55</v>
      </c>
      <c r="AP1697" s="7" t="s">
        <v>56</v>
      </c>
      <c r="AT1697" s="47" t="s">
        <v>57</v>
      </c>
      <c r="AU1697" s="47" t="s">
        <v>57</v>
      </c>
    </row>
    <row r="1698" spans="1:47">
      <c r="A1698" s="4" t="s">
        <v>48</v>
      </c>
      <c r="C1698" s="21"/>
      <c r="D1698" s="22" t="s">
        <v>49</v>
      </c>
      <c r="G1698" s="23">
        <v>45098</v>
      </c>
      <c r="H1698" s="24" t="s">
        <v>5024</v>
      </c>
      <c r="J1698" s="28" t="s">
        <v>51</v>
      </c>
      <c r="L1698" s="24" t="s">
        <v>5025</v>
      </c>
      <c r="M1698" s="1" t="str">
        <f>"342101196407102033"</f>
        <v>342101196407102033</v>
      </c>
      <c r="N1698" s="24" t="s">
        <v>5025</v>
      </c>
      <c r="O1698" s="1" t="str">
        <f>"342101196407102033"</f>
        <v>342101196407102033</v>
      </c>
      <c r="P1698" s="23" t="s">
        <v>5026</v>
      </c>
      <c r="Q1698" s="23">
        <v>45099</v>
      </c>
      <c r="R1698" s="32">
        <v>45465</v>
      </c>
      <c r="V1698" s="33">
        <v>200</v>
      </c>
      <c r="W1698" s="28">
        <v>64.29</v>
      </c>
      <c r="X1698" s="34" t="s">
        <v>54</v>
      </c>
      <c r="Y1698" s="33">
        <v>128.58</v>
      </c>
      <c r="AC1698" s="28">
        <v>64.29</v>
      </c>
      <c r="AD1698" s="34" t="s">
        <v>54</v>
      </c>
      <c r="AE1698" s="33">
        <v>128.58</v>
      </c>
      <c r="AN1698" s="7" t="s">
        <v>54</v>
      </c>
      <c r="AO1698" s="7" t="s">
        <v>55</v>
      </c>
      <c r="AP1698" s="7" t="s">
        <v>56</v>
      </c>
      <c r="AT1698" s="47" t="s">
        <v>57</v>
      </c>
      <c r="AU1698" s="47" t="s">
        <v>57</v>
      </c>
    </row>
    <row r="1699" spans="1:47">
      <c r="A1699" s="4" t="s">
        <v>48</v>
      </c>
      <c r="C1699" s="21"/>
      <c r="D1699" s="22" t="s">
        <v>49</v>
      </c>
      <c r="G1699" s="23">
        <v>45097</v>
      </c>
      <c r="H1699" s="24" t="s">
        <v>5027</v>
      </c>
      <c r="J1699" s="28" t="s">
        <v>51</v>
      </c>
      <c r="L1699" s="24" t="s">
        <v>5028</v>
      </c>
      <c r="M1699" s="1" t="str">
        <f>"341203199407012258"</f>
        <v>341203199407012258</v>
      </c>
      <c r="N1699" s="24" t="s">
        <v>5028</v>
      </c>
      <c r="O1699" s="1" t="str">
        <f>"341203199407012258"</f>
        <v>341203199407012258</v>
      </c>
      <c r="P1699" s="23" t="s">
        <v>5029</v>
      </c>
      <c r="Q1699" s="23">
        <v>45098</v>
      </c>
      <c r="R1699" s="32">
        <v>45464</v>
      </c>
      <c r="V1699" s="33">
        <v>200</v>
      </c>
      <c r="W1699" s="28">
        <v>64.29</v>
      </c>
      <c r="X1699" s="34" t="s">
        <v>54</v>
      </c>
      <c r="Y1699" s="33">
        <v>128.58</v>
      </c>
      <c r="AC1699" s="28">
        <v>64.29</v>
      </c>
      <c r="AD1699" s="34" t="s">
        <v>54</v>
      </c>
      <c r="AE1699" s="33">
        <v>128.58</v>
      </c>
      <c r="AN1699" s="7" t="s">
        <v>54</v>
      </c>
      <c r="AO1699" s="7" t="s">
        <v>55</v>
      </c>
      <c r="AP1699" s="7" t="s">
        <v>56</v>
      </c>
      <c r="AT1699" s="47" t="s">
        <v>57</v>
      </c>
      <c r="AU1699" s="47" t="s">
        <v>57</v>
      </c>
    </row>
    <row r="1700" spans="1:47">
      <c r="A1700" s="4" t="s">
        <v>48</v>
      </c>
      <c r="C1700" s="21"/>
      <c r="D1700" s="22" t="s">
        <v>49</v>
      </c>
      <c r="G1700" s="23">
        <v>45098</v>
      </c>
      <c r="H1700" s="24" t="s">
        <v>5030</v>
      </c>
      <c r="J1700" s="28" t="s">
        <v>51</v>
      </c>
      <c r="L1700" s="24" t="s">
        <v>5031</v>
      </c>
      <c r="M1700" s="1" t="str">
        <f>"341202196202261517"</f>
        <v>341202196202261517</v>
      </c>
      <c r="N1700" s="24" t="s">
        <v>5031</v>
      </c>
      <c r="O1700" s="1" t="str">
        <f>"341202196202261517"</f>
        <v>341202196202261517</v>
      </c>
      <c r="P1700" s="23" t="s">
        <v>5032</v>
      </c>
      <c r="Q1700" s="23">
        <v>45099</v>
      </c>
      <c r="R1700" s="32">
        <v>45465</v>
      </c>
      <c r="V1700" s="33">
        <v>200</v>
      </c>
      <c r="W1700" s="28">
        <v>64.29</v>
      </c>
      <c r="X1700" s="34" t="s">
        <v>54</v>
      </c>
      <c r="Y1700" s="33">
        <v>128.58</v>
      </c>
      <c r="AC1700" s="28">
        <v>64.29</v>
      </c>
      <c r="AD1700" s="34" t="s">
        <v>54</v>
      </c>
      <c r="AE1700" s="33">
        <v>128.58</v>
      </c>
      <c r="AN1700" s="7" t="s">
        <v>54</v>
      </c>
      <c r="AO1700" s="7" t="s">
        <v>55</v>
      </c>
      <c r="AP1700" s="7" t="s">
        <v>56</v>
      </c>
      <c r="AT1700" s="47" t="s">
        <v>57</v>
      </c>
      <c r="AU1700" s="47" t="s">
        <v>57</v>
      </c>
    </row>
    <row r="1701" spans="1:47">
      <c r="A1701" s="4" t="s">
        <v>48</v>
      </c>
      <c r="C1701" s="21"/>
      <c r="D1701" s="22" t="s">
        <v>49</v>
      </c>
      <c r="G1701" s="23">
        <v>45083</v>
      </c>
      <c r="H1701" s="24" t="s">
        <v>5033</v>
      </c>
      <c r="J1701" s="28" t="s">
        <v>51</v>
      </c>
      <c r="L1701" s="24" t="s">
        <v>5034</v>
      </c>
      <c r="M1701" s="1" t="str">
        <f>"341203197603202818"</f>
        <v>341203197603202818</v>
      </c>
      <c r="N1701" s="24" t="s">
        <v>5034</v>
      </c>
      <c r="O1701" s="1" t="str">
        <f>"341203197603202818"</f>
        <v>341203197603202818</v>
      </c>
      <c r="P1701" s="23" t="s">
        <v>5035</v>
      </c>
      <c r="Q1701" s="23">
        <v>45084</v>
      </c>
      <c r="R1701" s="32">
        <v>45450</v>
      </c>
      <c r="V1701" s="33">
        <v>50</v>
      </c>
      <c r="W1701" s="28">
        <v>64.29</v>
      </c>
      <c r="X1701" s="34" t="s">
        <v>54</v>
      </c>
      <c r="Y1701" s="33">
        <v>32.15</v>
      </c>
      <c r="AC1701" s="28">
        <v>64.29</v>
      </c>
      <c r="AD1701" s="34" t="s">
        <v>54</v>
      </c>
      <c r="AE1701" s="33">
        <v>32.15</v>
      </c>
      <c r="AN1701" s="7" t="s">
        <v>54</v>
      </c>
      <c r="AO1701" s="7" t="s">
        <v>55</v>
      </c>
      <c r="AP1701" s="7" t="s">
        <v>56</v>
      </c>
      <c r="AT1701" s="47" t="s">
        <v>57</v>
      </c>
      <c r="AU1701" s="47" t="s">
        <v>57</v>
      </c>
    </row>
    <row r="1702" spans="1:47">
      <c r="A1702" s="4" t="s">
        <v>48</v>
      </c>
      <c r="C1702" s="21"/>
      <c r="D1702" s="22" t="s">
        <v>49</v>
      </c>
      <c r="G1702" s="23">
        <v>45083</v>
      </c>
      <c r="H1702" s="24" t="s">
        <v>5036</v>
      </c>
      <c r="J1702" s="28" t="s">
        <v>51</v>
      </c>
      <c r="L1702" s="24" t="s">
        <v>5037</v>
      </c>
      <c r="M1702" s="1" t="str">
        <f>"341226199608264210"</f>
        <v>341226199608264210</v>
      </c>
      <c r="N1702" s="24" t="s">
        <v>5037</v>
      </c>
      <c r="O1702" s="1" t="str">
        <f>"341226199608264210"</f>
        <v>341226199608264210</v>
      </c>
      <c r="P1702" s="23" t="s">
        <v>5038</v>
      </c>
      <c r="Q1702" s="23">
        <v>45084</v>
      </c>
      <c r="R1702" s="32">
        <v>45450</v>
      </c>
      <c r="V1702" s="33">
        <v>50</v>
      </c>
      <c r="W1702" s="28">
        <v>64.29</v>
      </c>
      <c r="X1702" s="34" t="s">
        <v>54</v>
      </c>
      <c r="Y1702" s="33">
        <v>32.15</v>
      </c>
      <c r="AC1702" s="28">
        <v>64.29</v>
      </c>
      <c r="AD1702" s="34" t="s">
        <v>54</v>
      </c>
      <c r="AE1702" s="33">
        <v>32.15</v>
      </c>
      <c r="AN1702" s="7" t="s">
        <v>54</v>
      </c>
      <c r="AO1702" s="7" t="s">
        <v>55</v>
      </c>
      <c r="AP1702" s="7" t="s">
        <v>56</v>
      </c>
      <c r="AT1702" s="47" t="s">
        <v>57</v>
      </c>
      <c r="AU1702" s="47" t="s">
        <v>57</v>
      </c>
    </row>
    <row r="1703" spans="1:47">
      <c r="A1703" s="4" t="s">
        <v>48</v>
      </c>
      <c r="C1703" s="21"/>
      <c r="D1703" s="22" t="s">
        <v>49</v>
      </c>
      <c r="G1703" s="23">
        <v>45084</v>
      </c>
      <c r="H1703" s="24" t="s">
        <v>5039</v>
      </c>
      <c r="J1703" s="28" t="s">
        <v>51</v>
      </c>
      <c r="L1703" s="24" t="s">
        <v>5040</v>
      </c>
      <c r="M1703" s="1" t="str">
        <f>"34128119950814243X"</f>
        <v>34128119950814243X</v>
      </c>
      <c r="N1703" s="24" t="s">
        <v>5040</v>
      </c>
      <c r="O1703" s="1" t="str">
        <f>"34128119950814243X"</f>
        <v>34128119950814243X</v>
      </c>
      <c r="P1703" s="23" t="s">
        <v>5041</v>
      </c>
      <c r="Q1703" s="23">
        <v>45085</v>
      </c>
      <c r="R1703" s="32">
        <v>45451</v>
      </c>
      <c r="V1703" s="33">
        <v>50</v>
      </c>
      <c r="W1703" s="28">
        <v>64.29</v>
      </c>
      <c r="X1703" s="34" t="s">
        <v>54</v>
      </c>
      <c r="Y1703" s="33">
        <v>32.15</v>
      </c>
      <c r="AC1703" s="28">
        <v>64.29</v>
      </c>
      <c r="AD1703" s="34" t="s">
        <v>54</v>
      </c>
      <c r="AE1703" s="33">
        <v>32.15</v>
      </c>
      <c r="AN1703" s="7" t="s">
        <v>54</v>
      </c>
      <c r="AO1703" s="7" t="s">
        <v>55</v>
      </c>
      <c r="AP1703" s="7" t="s">
        <v>56</v>
      </c>
      <c r="AT1703" s="47" t="s">
        <v>57</v>
      </c>
      <c r="AU1703" s="47" t="s">
        <v>57</v>
      </c>
    </row>
    <row r="1704" spans="1:47">
      <c r="A1704" s="4" t="s">
        <v>48</v>
      </c>
      <c r="C1704" s="21"/>
      <c r="D1704" s="22" t="s">
        <v>49</v>
      </c>
      <c r="G1704" s="23">
        <v>45084</v>
      </c>
      <c r="H1704" s="24" t="s">
        <v>5042</v>
      </c>
      <c r="J1704" s="28" t="s">
        <v>51</v>
      </c>
      <c r="L1704" s="24" t="s">
        <v>5043</v>
      </c>
      <c r="M1704" s="1" t="str">
        <f>"342101197806152075"</f>
        <v>342101197806152075</v>
      </c>
      <c r="N1704" s="24" t="s">
        <v>5043</v>
      </c>
      <c r="O1704" s="1" t="str">
        <f>"342101197806152075"</f>
        <v>342101197806152075</v>
      </c>
      <c r="P1704" s="23" t="s">
        <v>5044</v>
      </c>
      <c r="Q1704" s="23">
        <v>45085</v>
      </c>
      <c r="R1704" s="32">
        <v>45451</v>
      </c>
      <c r="V1704" s="33">
        <v>50</v>
      </c>
      <c r="W1704" s="28">
        <v>64.29</v>
      </c>
      <c r="X1704" s="34" t="s">
        <v>54</v>
      </c>
      <c r="Y1704" s="33">
        <v>32.15</v>
      </c>
      <c r="AC1704" s="28">
        <v>64.29</v>
      </c>
      <c r="AD1704" s="34" t="s">
        <v>54</v>
      </c>
      <c r="AE1704" s="33">
        <v>32.15</v>
      </c>
      <c r="AN1704" s="7" t="s">
        <v>54</v>
      </c>
      <c r="AO1704" s="7" t="s">
        <v>55</v>
      </c>
      <c r="AP1704" s="7" t="s">
        <v>56</v>
      </c>
      <c r="AT1704" s="47" t="s">
        <v>57</v>
      </c>
      <c r="AU1704" s="47" t="s">
        <v>57</v>
      </c>
    </row>
    <row r="1705" spans="1:47">
      <c r="A1705" s="4" t="s">
        <v>48</v>
      </c>
      <c r="C1705" s="21"/>
      <c r="D1705" s="22" t="s">
        <v>49</v>
      </c>
      <c r="G1705" s="23">
        <v>45096</v>
      </c>
      <c r="H1705" s="24" t="s">
        <v>5045</v>
      </c>
      <c r="J1705" s="28" t="s">
        <v>51</v>
      </c>
      <c r="L1705" s="24" t="s">
        <v>5046</v>
      </c>
      <c r="M1705" s="1" t="str">
        <f>"341226198902220839"</f>
        <v>341226198902220839</v>
      </c>
      <c r="N1705" s="24" t="s">
        <v>5046</v>
      </c>
      <c r="O1705" s="1" t="str">
        <f>"341226198902220839"</f>
        <v>341226198902220839</v>
      </c>
      <c r="P1705" s="23" t="s">
        <v>5047</v>
      </c>
      <c r="Q1705" s="23">
        <v>45097</v>
      </c>
      <c r="R1705" s="32">
        <v>45463</v>
      </c>
      <c r="V1705" s="33">
        <v>100</v>
      </c>
      <c r="W1705" s="28">
        <v>64.29</v>
      </c>
      <c r="X1705" s="34" t="s">
        <v>54</v>
      </c>
      <c r="Y1705" s="33">
        <v>64.29</v>
      </c>
      <c r="AC1705" s="28">
        <v>64.29</v>
      </c>
      <c r="AD1705" s="34" t="s">
        <v>54</v>
      </c>
      <c r="AE1705" s="33">
        <v>64.29</v>
      </c>
      <c r="AN1705" s="7" t="s">
        <v>54</v>
      </c>
      <c r="AO1705" s="7" t="s">
        <v>55</v>
      </c>
      <c r="AP1705" s="7" t="s">
        <v>56</v>
      </c>
      <c r="AT1705" s="47" t="s">
        <v>57</v>
      </c>
      <c r="AU1705" s="47" t="s">
        <v>57</v>
      </c>
    </row>
    <row r="1706" spans="1:47">
      <c r="A1706" s="4" t="s">
        <v>48</v>
      </c>
      <c r="C1706" s="21"/>
      <c r="D1706" s="22" t="s">
        <v>49</v>
      </c>
      <c r="G1706" s="23">
        <v>45093</v>
      </c>
      <c r="H1706" s="24" t="s">
        <v>5048</v>
      </c>
      <c r="J1706" s="28" t="s">
        <v>51</v>
      </c>
      <c r="L1706" s="24" t="s">
        <v>5049</v>
      </c>
      <c r="M1706" s="1" t="str">
        <f>"341221198606025826"</f>
        <v>341221198606025826</v>
      </c>
      <c r="N1706" s="24" t="s">
        <v>5049</v>
      </c>
      <c r="O1706" s="1" t="str">
        <f>"341221198606025826"</f>
        <v>341221198606025826</v>
      </c>
      <c r="P1706" s="23" t="s">
        <v>5050</v>
      </c>
      <c r="Q1706" s="23">
        <v>45094</v>
      </c>
      <c r="R1706" s="32">
        <v>45460</v>
      </c>
      <c r="V1706" s="33">
        <v>100</v>
      </c>
      <c r="W1706" s="28">
        <v>64.29</v>
      </c>
      <c r="X1706" s="34" t="s">
        <v>54</v>
      </c>
      <c r="Y1706" s="33">
        <v>64.29</v>
      </c>
      <c r="AC1706" s="28">
        <v>64.29</v>
      </c>
      <c r="AD1706" s="34" t="s">
        <v>54</v>
      </c>
      <c r="AE1706" s="33">
        <v>64.29</v>
      </c>
      <c r="AN1706" s="7" t="s">
        <v>54</v>
      </c>
      <c r="AO1706" s="7" t="s">
        <v>55</v>
      </c>
      <c r="AP1706" s="7" t="s">
        <v>56</v>
      </c>
      <c r="AT1706" s="47" t="s">
        <v>57</v>
      </c>
      <c r="AU1706" s="47" t="s">
        <v>57</v>
      </c>
    </row>
    <row r="1707" spans="1:47">
      <c r="A1707" s="4" t="s">
        <v>48</v>
      </c>
      <c r="C1707" s="21"/>
      <c r="D1707" s="22" t="s">
        <v>49</v>
      </c>
      <c r="G1707" s="23">
        <v>45083</v>
      </c>
      <c r="H1707" s="24" t="s">
        <v>5051</v>
      </c>
      <c r="J1707" s="28" t="s">
        <v>51</v>
      </c>
      <c r="L1707" s="24" t="s">
        <v>5052</v>
      </c>
      <c r="M1707" s="1" t="str">
        <f>"341202199511043314"</f>
        <v>341202199511043314</v>
      </c>
      <c r="N1707" s="24" t="s">
        <v>5052</v>
      </c>
      <c r="O1707" s="1" t="str">
        <f>"341202199511043314"</f>
        <v>341202199511043314</v>
      </c>
      <c r="P1707" s="23" t="s">
        <v>5053</v>
      </c>
      <c r="Q1707" s="23">
        <v>45108</v>
      </c>
      <c r="R1707" s="32">
        <v>45474</v>
      </c>
      <c r="V1707" s="33">
        <v>100</v>
      </c>
      <c r="W1707" s="28">
        <v>64.29</v>
      </c>
      <c r="X1707" s="34" t="s">
        <v>54</v>
      </c>
      <c r="Y1707" s="33">
        <v>64.29</v>
      </c>
      <c r="AC1707" s="28">
        <v>64.29</v>
      </c>
      <c r="AD1707" s="34" t="s">
        <v>54</v>
      </c>
      <c r="AE1707" s="33">
        <v>64.29</v>
      </c>
      <c r="AN1707" s="7" t="s">
        <v>54</v>
      </c>
      <c r="AO1707" s="7" t="s">
        <v>55</v>
      </c>
      <c r="AP1707" s="7" t="s">
        <v>56</v>
      </c>
      <c r="AT1707" s="47" t="s">
        <v>57</v>
      </c>
      <c r="AU1707" s="47" t="s">
        <v>57</v>
      </c>
    </row>
    <row r="1708" spans="1:47">
      <c r="A1708" s="4" t="s">
        <v>48</v>
      </c>
      <c r="C1708" s="21"/>
      <c r="D1708" s="22" t="s">
        <v>49</v>
      </c>
      <c r="G1708" s="23">
        <v>45096</v>
      </c>
      <c r="H1708" s="24" t="s">
        <v>5054</v>
      </c>
      <c r="J1708" s="28" t="s">
        <v>51</v>
      </c>
      <c r="L1708" s="24" t="s">
        <v>5055</v>
      </c>
      <c r="M1708" s="1" t="str">
        <f>"341226198808273731"</f>
        <v>341226198808273731</v>
      </c>
      <c r="N1708" s="24" t="s">
        <v>5055</v>
      </c>
      <c r="O1708" s="1" t="str">
        <f>"341226198808273731"</f>
        <v>341226198808273731</v>
      </c>
      <c r="P1708" s="23" t="s">
        <v>5056</v>
      </c>
      <c r="Q1708" s="23">
        <v>45097</v>
      </c>
      <c r="R1708" s="32">
        <v>45463</v>
      </c>
      <c r="V1708" s="33">
        <v>200</v>
      </c>
      <c r="W1708" s="28">
        <v>64.29</v>
      </c>
      <c r="X1708" s="34" t="s">
        <v>54</v>
      </c>
      <c r="Y1708" s="33">
        <v>128.58</v>
      </c>
      <c r="AC1708" s="28">
        <v>64.29</v>
      </c>
      <c r="AD1708" s="34" t="s">
        <v>54</v>
      </c>
      <c r="AE1708" s="33">
        <v>128.58</v>
      </c>
      <c r="AN1708" s="7" t="s">
        <v>54</v>
      </c>
      <c r="AO1708" s="7" t="s">
        <v>55</v>
      </c>
      <c r="AP1708" s="7" t="s">
        <v>56</v>
      </c>
      <c r="AT1708" s="47" t="s">
        <v>57</v>
      </c>
      <c r="AU1708" s="47" t="s">
        <v>57</v>
      </c>
    </row>
    <row r="1709" spans="1:47">
      <c r="A1709" s="4" t="s">
        <v>48</v>
      </c>
      <c r="C1709" s="21"/>
      <c r="D1709" s="22" t="s">
        <v>49</v>
      </c>
      <c r="G1709" s="23">
        <v>45096</v>
      </c>
      <c r="H1709" s="24" t="s">
        <v>5057</v>
      </c>
      <c r="J1709" s="28" t="s">
        <v>51</v>
      </c>
      <c r="L1709" s="24" t="s">
        <v>5058</v>
      </c>
      <c r="M1709" s="1" t="str">
        <f>"341225199302090506"</f>
        <v>341225199302090506</v>
      </c>
      <c r="N1709" s="24" t="s">
        <v>5058</v>
      </c>
      <c r="O1709" s="1" t="str">
        <f>"341225199302090506"</f>
        <v>341225199302090506</v>
      </c>
      <c r="P1709" s="23" t="s">
        <v>5059</v>
      </c>
      <c r="Q1709" s="23">
        <v>45097</v>
      </c>
      <c r="R1709" s="32">
        <v>45463</v>
      </c>
      <c r="V1709" s="33">
        <v>200</v>
      </c>
      <c r="W1709" s="28">
        <v>64.29</v>
      </c>
      <c r="X1709" s="34" t="s">
        <v>54</v>
      </c>
      <c r="Y1709" s="33">
        <v>128.58</v>
      </c>
      <c r="AC1709" s="28">
        <v>64.29</v>
      </c>
      <c r="AD1709" s="34" t="s">
        <v>54</v>
      </c>
      <c r="AE1709" s="33">
        <v>128.58</v>
      </c>
      <c r="AN1709" s="7" t="s">
        <v>54</v>
      </c>
      <c r="AO1709" s="7" t="s">
        <v>55</v>
      </c>
      <c r="AP1709" s="7" t="s">
        <v>56</v>
      </c>
      <c r="AT1709" s="47" t="s">
        <v>57</v>
      </c>
      <c r="AU1709" s="47" t="s">
        <v>57</v>
      </c>
    </row>
    <row r="1710" spans="1:47">
      <c r="A1710" s="4" t="s">
        <v>48</v>
      </c>
      <c r="C1710" s="21"/>
      <c r="D1710" s="22" t="s">
        <v>49</v>
      </c>
      <c r="G1710" s="23">
        <v>45096</v>
      </c>
      <c r="H1710" s="24" t="s">
        <v>5060</v>
      </c>
      <c r="J1710" s="28" t="s">
        <v>51</v>
      </c>
      <c r="L1710" s="24" t="s">
        <v>5061</v>
      </c>
      <c r="M1710" s="1" t="str">
        <f>"341226197712032322"</f>
        <v>341226197712032322</v>
      </c>
      <c r="N1710" s="24" t="s">
        <v>5061</v>
      </c>
      <c r="O1710" s="1" t="str">
        <f>"341226197712032322"</f>
        <v>341226197712032322</v>
      </c>
      <c r="P1710" s="23" t="s">
        <v>5062</v>
      </c>
      <c r="Q1710" s="23">
        <v>45097</v>
      </c>
      <c r="R1710" s="32">
        <v>45463</v>
      </c>
      <c r="V1710" s="33">
        <v>200</v>
      </c>
      <c r="W1710" s="28">
        <v>64.29</v>
      </c>
      <c r="X1710" s="34" t="s">
        <v>54</v>
      </c>
      <c r="Y1710" s="33">
        <v>128.58</v>
      </c>
      <c r="AC1710" s="28">
        <v>64.29</v>
      </c>
      <c r="AD1710" s="34" t="s">
        <v>54</v>
      </c>
      <c r="AE1710" s="33">
        <v>128.58</v>
      </c>
      <c r="AN1710" s="7" t="s">
        <v>54</v>
      </c>
      <c r="AO1710" s="7" t="s">
        <v>55</v>
      </c>
      <c r="AP1710" s="7" t="s">
        <v>56</v>
      </c>
      <c r="AT1710" s="47" t="s">
        <v>57</v>
      </c>
      <c r="AU1710" s="47" t="s">
        <v>57</v>
      </c>
    </row>
    <row r="1711" spans="1:47">
      <c r="A1711" s="4" t="s">
        <v>48</v>
      </c>
      <c r="C1711" s="21"/>
      <c r="D1711" s="22" t="s">
        <v>49</v>
      </c>
      <c r="G1711" s="23">
        <v>45093</v>
      </c>
      <c r="H1711" s="24" t="s">
        <v>5063</v>
      </c>
      <c r="J1711" s="28" t="s">
        <v>51</v>
      </c>
      <c r="L1711" s="24" t="s">
        <v>5064</v>
      </c>
      <c r="M1711" s="1" t="str">
        <f>"341202197802051761"</f>
        <v>341202197802051761</v>
      </c>
      <c r="N1711" s="24" t="s">
        <v>5064</v>
      </c>
      <c r="O1711" s="1" t="str">
        <f>"341202197802051761"</f>
        <v>341202197802051761</v>
      </c>
      <c r="P1711" s="23" t="s">
        <v>5065</v>
      </c>
      <c r="Q1711" s="23">
        <v>45094</v>
      </c>
      <c r="R1711" s="32">
        <v>45460</v>
      </c>
      <c r="V1711" s="33">
        <v>200</v>
      </c>
      <c r="W1711" s="28">
        <v>64.29</v>
      </c>
      <c r="X1711" s="34" t="s">
        <v>54</v>
      </c>
      <c r="Y1711" s="33">
        <v>128.58</v>
      </c>
      <c r="AC1711" s="28">
        <v>64.29</v>
      </c>
      <c r="AD1711" s="34" t="s">
        <v>54</v>
      </c>
      <c r="AE1711" s="33">
        <v>128.58</v>
      </c>
      <c r="AN1711" s="7" t="s">
        <v>54</v>
      </c>
      <c r="AO1711" s="7" t="s">
        <v>55</v>
      </c>
      <c r="AP1711" s="7" t="s">
        <v>56</v>
      </c>
      <c r="AT1711" s="47" t="s">
        <v>57</v>
      </c>
      <c r="AU1711" s="47" t="s">
        <v>57</v>
      </c>
    </row>
    <row r="1712" spans="1:47">
      <c r="A1712" s="4" t="s">
        <v>48</v>
      </c>
      <c r="C1712" s="21"/>
      <c r="D1712" s="22" t="s">
        <v>49</v>
      </c>
      <c r="G1712" s="23">
        <v>45083</v>
      </c>
      <c r="H1712" s="24" t="s">
        <v>5066</v>
      </c>
      <c r="J1712" s="28" t="s">
        <v>51</v>
      </c>
      <c r="L1712" s="24" t="s">
        <v>5067</v>
      </c>
      <c r="M1712" s="1" t="str">
        <f>"341203198202031557"</f>
        <v>341203198202031557</v>
      </c>
      <c r="N1712" s="24" t="s">
        <v>5067</v>
      </c>
      <c r="O1712" s="1" t="str">
        <f>"341203198202031557"</f>
        <v>341203198202031557</v>
      </c>
      <c r="P1712" s="23" t="s">
        <v>5068</v>
      </c>
      <c r="Q1712" s="23">
        <v>45084</v>
      </c>
      <c r="R1712" s="32">
        <v>45450</v>
      </c>
      <c r="V1712" s="33">
        <v>50</v>
      </c>
      <c r="W1712" s="28">
        <v>64.29</v>
      </c>
      <c r="X1712" s="34" t="s">
        <v>54</v>
      </c>
      <c r="Y1712" s="33">
        <v>32.15</v>
      </c>
      <c r="AC1712" s="28">
        <v>64.29</v>
      </c>
      <c r="AD1712" s="34" t="s">
        <v>54</v>
      </c>
      <c r="AE1712" s="33">
        <v>32.15</v>
      </c>
      <c r="AN1712" s="7" t="s">
        <v>54</v>
      </c>
      <c r="AO1712" s="7" t="s">
        <v>55</v>
      </c>
      <c r="AP1712" s="7" t="s">
        <v>56</v>
      </c>
      <c r="AT1712" s="47" t="s">
        <v>57</v>
      </c>
      <c r="AU1712" s="47" t="s">
        <v>57</v>
      </c>
    </row>
    <row r="1713" spans="1:47">
      <c r="A1713" s="4" t="s">
        <v>48</v>
      </c>
      <c r="C1713" s="21"/>
      <c r="D1713" s="22" t="s">
        <v>49</v>
      </c>
      <c r="G1713" s="23">
        <v>45079</v>
      </c>
      <c r="H1713" s="24" t="s">
        <v>5069</v>
      </c>
      <c r="J1713" s="28" t="s">
        <v>51</v>
      </c>
      <c r="L1713" s="24" t="s">
        <v>5070</v>
      </c>
      <c r="M1713" s="1" t="str">
        <f>"410928198406061240"</f>
        <v>410928198406061240</v>
      </c>
      <c r="N1713" s="24" t="s">
        <v>5070</v>
      </c>
      <c r="O1713" s="1" t="str">
        <f>"410928198406061240"</f>
        <v>410928198406061240</v>
      </c>
      <c r="P1713" s="23" t="s">
        <v>5071</v>
      </c>
      <c r="Q1713" s="23">
        <v>45080</v>
      </c>
      <c r="R1713" s="32">
        <v>45446</v>
      </c>
      <c r="V1713" s="33">
        <v>50</v>
      </c>
      <c r="W1713" s="28">
        <v>64.29</v>
      </c>
      <c r="X1713" s="34" t="s">
        <v>54</v>
      </c>
      <c r="Y1713" s="33">
        <v>32.15</v>
      </c>
      <c r="AC1713" s="28">
        <v>64.29</v>
      </c>
      <c r="AD1713" s="34" t="s">
        <v>54</v>
      </c>
      <c r="AE1713" s="33">
        <v>32.15</v>
      </c>
      <c r="AN1713" s="7" t="s">
        <v>54</v>
      </c>
      <c r="AO1713" s="7" t="s">
        <v>55</v>
      </c>
      <c r="AP1713" s="7" t="s">
        <v>56</v>
      </c>
      <c r="AT1713" s="47" t="s">
        <v>57</v>
      </c>
      <c r="AU1713" s="47" t="s">
        <v>57</v>
      </c>
    </row>
    <row r="1714" spans="1:47">
      <c r="A1714" s="4" t="s">
        <v>48</v>
      </c>
      <c r="C1714" s="21"/>
      <c r="D1714" s="22" t="s">
        <v>49</v>
      </c>
      <c r="G1714" s="23">
        <v>45079</v>
      </c>
      <c r="H1714" s="24" t="s">
        <v>5072</v>
      </c>
      <c r="J1714" s="28" t="s">
        <v>51</v>
      </c>
      <c r="L1714" s="24" t="s">
        <v>5073</v>
      </c>
      <c r="M1714" s="1" t="str">
        <f>"342101197004031335"</f>
        <v>342101197004031335</v>
      </c>
      <c r="N1714" s="24" t="s">
        <v>5073</v>
      </c>
      <c r="O1714" s="1" t="str">
        <f>"342101197004031335"</f>
        <v>342101197004031335</v>
      </c>
      <c r="P1714" s="23" t="s">
        <v>5074</v>
      </c>
      <c r="Q1714" s="23">
        <v>45080</v>
      </c>
      <c r="R1714" s="32">
        <v>45446</v>
      </c>
      <c r="V1714" s="33">
        <v>50</v>
      </c>
      <c r="W1714" s="28">
        <v>64.29</v>
      </c>
      <c r="X1714" s="34" t="s">
        <v>54</v>
      </c>
      <c r="Y1714" s="33">
        <v>32.15</v>
      </c>
      <c r="AC1714" s="28">
        <v>64.29</v>
      </c>
      <c r="AD1714" s="34" t="s">
        <v>54</v>
      </c>
      <c r="AE1714" s="33">
        <v>32.15</v>
      </c>
      <c r="AN1714" s="7" t="s">
        <v>54</v>
      </c>
      <c r="AO1714" s="7" t="s">
        <v>55</v>
      </c>
      <c r="AP1714" s="7" t="s">
        <v>56</v>
      </c>
      <c r="AT1714" s="47" t="s">
        <v>57</v>
      </c>
      <c r="AU1714" s="47" t="s">
        <v>57</v>
      </c>
    </row>
    <row r="1715" spans="1:47">
      <c r="A1715" s="4" t="s">
        <v>48</v>
      </c>
      <c r="C1715" s="21"/>
      <c r="D1715" s="22" t="s">
        <v>49</v>
      </c>
      <c r="G1715" s="23">
        <v>45082</v>
      </c>
      <c r="H1715" s="24" t="s">
        <v>5075</v>
      </c>
      <c r="J1715" s="28" t="s">
        <v>51</v>
      </c>
      <c r="L1715" s="24" t="s">
        <v>5076</v>
      </c>
      <c r="M1715" s="1" t="str">
        <f>"341202196901103315"</f>
        <v>341202196901103315</v>
      </c>
      <c r="N1715" s="24" t="s">
        <v>5076</v>
      </c>
      <c r="O1715" s="1" t="str">
        <f>"341202196901103315"</f>
        <v>341202196901103315</v>
      </c>
      <c r="P1715" s="23" t="s">
        <v>5077</v>
      </c>
      <c r="Q1715" s="23">
        <v>45083</v>
      </c>
      <c r="R1715" s="32">
        <v>45449</v>
      </c>
      <c r="V1715" s="33">
        <v>50</v>
      </c>
      <c r="W1715" s="28">
        <v>64.29</v>
      </c>
      <c r="X1715" s="34" t="s">
        <v>54</v>
      </c>
      <c r="Y1715" s="33">
        <v>32.15</v>
      </c>
      <c r="AC1715" s="28">
        <v>64.29</v>
      </c>
      <c r="AD1715" s="34" t="s">
        <v>54</v>
      </c>
      <c r="AE1715" s="33">
        <v>32.15</v>
      </c>
      <c r="AN1715" s="7" t="s">
        <v>54</v>
      </c>
      <c r="AO1715" s="7" t="s">
        <v>55</v>
      </c>
      <c r="AP1715" s="7" t="s">
        <v>56</v>
      </c>
      <c r="AT1715" s="47" t="s">
        <v>57</v>
      </c>
      <c r="AU1715" s="47" t="s">
        <v>57</v>
      </c>
    </row>
    <row r="1716" spans="1:47">
      <c r="A1716" s="4" t="s">
        <v>48</v>
      </c>
      <c r="C1716" s="21"/>
      <c r="D1716" s="22" t="s">
        <v>49</v>
      </c>
      <c r="G1716" s="23">
        <v>45081</v>
      </c>
      <c r="H1716" s="24" t="s">
        <v>5078</v>
      </c>
      <c r="J1716" s="28" t="s">
        <v>51</v>
      </c>
      <c r="L1716" s="24" t="s">
        <v>5079</v>
      </c>
      <c r="M1716" s="1" t="str">
        <f>"342101196008101324"</f>
        <v>342101196008101324</v>
      </c>
      <c r="N1716" s="24" t="s">
        <v>5079</v>
      </c>
      <c r="O1716" s="1" t="str">
        <f>"342101196008101324"</f>
        <v>342101196008101324</v>
      </c>
      <c r="P1716" s="23" t="s">
        <v>5080</v>
      </c>
      <c r="Q1716" s="23">
        <v>45082</v>
      </c>
      <c r="R1716" s="32">
        <v>45448</v>
      </c>
      <c r="V1716" s="33">
        <v>50</v>
      </c>
      <c r="W1716" s="28">
        <v>64.29</v>
      </c>
      <c r="X1716" s="34" t="s">
        <v>54</v>
      </c>
      <c r="Y1716" s="33">
        <v>32.15</v>
      </c>
      <c r="AC1716" s="28">
        <v>64.29</v>
      </c>
      <c r="AD1716" s="34" t="s">
        <v>54</v>
      </c>
      <c r="AE1716" s="33">
        <v>32.15</v>
      </c>
      <c r="AN1716" s="7" t="s">
        <v>54</v>
      </c>
      <c r="AO1716" s="7" t="s">
        <v>55</v>
      </c>
      <c r="AP1716" s="7" t="s">
        <v>56</v>
      </c>
      <c r="AT1716" s="47" t="s">
        <v>57</v>
      </c>
      <c r="AU1716" s="47" t="s">
        <v>57</v>
      </c>
    </row>
    <row r="1717" spans="1:47">
      <c r="A1717" s="4" t="s">
        <v>48</v>
      </c>
      <c r="C1717" s="21"/>
      <c r="D1717" s="22" t="s">
        <v>49</v>
      </c>
      <c r="G1717" s="23">
        <v>45093</v>
      </c>
      <c r="H1717" s="24" t="s">
        <v>5081</v>
      </c>
      <c r="J1717" s="28" t="s">
        <v>51</v>
      </c>
      <c r="L1717" s="24" t="s">
        <v>5082</v>
      </c>
      <c r="M1717" s="1" t="str">
        <f>"341226199409121938"</f>
        <v>341226199409121938</v>
      </c>
      <c r="N1717" s="24" t="s">
        <v>5082</v>
      </c>
      <c r="O1717" s="1" t="str">
        <f>"341226199409121938"</f>
        <v>341226199409121938</v>
      </c>
      <c r="P1717" s="23" t="s">
        <v>5083</v>
      </c>
      <c r="Q1717" s="23">
        <v>45094</v>
      </c>
      <c r="R1717" s="32">
        <v>45460</v>
      </c>
      <c r="V1717" s="33">
        <v>100</v>
      </c>
      <c r="W1717" s="28">
        <v>64.29</v>
      </c>
      <c r="X1717" s="34" t="s">
        <v>54</v>
      </c>
      <c r="Y1717" s="33">
        <v>64.29</v>
      </c>
      <c r="AC1717" s="28">
        <v>64.29</v>
      </c>
      <c r="AD1717" s="34" t="s">
        <v>54</v>
      </c>
      <c r="AE1717" s="33">
        <v>64.29</v>
      </c>
      <c r="AN1717" s="7" t="s">
        <v>54</v>
      </c>
      <c r="AO1717" s="7" t="s">
        <v>55</v>
      </c>
      <c r="AP1717" s="7" t="s">
        <v>56</v>
      </c>
      <c r="AT1717" s="47" t="s">
        <v>57</v>
      </c>
      <c r="AU1717" s="47" t="s">
        <v>57</v>
      </c>
    </row>
    <row r="1718" spans="1:47">
      <c r="A1718" s="4" t="s">
        <v>48</v>
      </c>
      <c r="C1718" s="21"/>
      <c r="D1718" s="22" t="s">
        <v>49</v>
      </c>
      <c r="G1718" s="23">
        <v>45093</v>
      </c>
      <c r="H1718" s="24" t="s">
        <v>5084</v>
      </c>
      <c r="J1718" s="28" t="s">
        <v>51</v>
      </c>
      <c r="L1718" s="24" t="s">
        <v>5085</v>
      </c>
      <c r="M1718" s="1" t="str">
        <f>"341226195203012949"</f>
        <v>341226195203012949</v>
      </c>
      <c r="N1718" s="24" t="s">
        <v>5085</v>
      </c>
      <c r="O1718" s="1" t="str">
        <f>"341226195203012949"</f>
        <v>341226195203012949</v>
      </c>
      <c r="P1718" s="23" t="s">
        <v>5086</v>
      </c>
      <c r="Q1718" s="23">
        <v>45291</v>
      </c>
      <c r="R1718" s="32">
        <v>45657</v>
      </c>
      <c r="V1718" s="33">
        <v>100</v>
      </c>
      <c r="W1718" s="28">
        <v>64.29</v>
      </c>
      <c r="X1718" s="34" t="s">
        <v>54</v>
      </c>
      <c r="Y1718" s="33">
        <v>64.29</v>
      </c>
      <c r="AC1718" s="28">
        <v>64.29</v>
      </c>
      <c r="AD1718" s="34" t="s">
        <v>54</v>
      </c>
      <c r="AE1718" s="33">
        <v>64.29</v>
      </c>
      <c r="AN1718" s="7" t="s">
        <v>54</v>
      </c>
      <c r="AO1718" s="7" t="s">
        <v>55</v>
      </c>
      <c r="AP1718" s="7" t="s">
        <v>56</v>
      </c>
      <c r="AT1718" s="47" t="s">
        <v>57</v>
      </c>
      <c r="AU1718" s="47" t="s">
        <v>57</v>
      </c>
    </row>
    <row r="1719" spans="1:47">
      <c r="A1719" s="4" t="s">
        <v>48</v>
      </c>
      <c r="C1719" s="21"/>
      <c r="D1719" s="22" t="s">
        <v>49</v>
      </c>
      <c r="G1719" s="23">
        <v>45093</v>
      </c>
      <c r="H1719" s="24" t="s">
        <v>5087</v>
      </c>
      <c r="J1719" s="28" t="s">
        <v>51</v>
      </c>
      <c r="L1719" s="24" t="s">
        <v>5088</v>
      </c>
      <c r="M1719" s="1" t="str">
        <f>"341226197207156017"</f>
        <v>341226197207156017</v>
      </c>
      <c r="N1719" s="24" t="s">
        <v>5088</v>
      </c>
      <c r="O1719" s="1" t="str">
        <f>"341226197207156017"</f>
        <v>341226197207156017</v>
      </c>
      <c r="P1719" s="23" t="s">
        <v>5089</v>
      </c>
      <c r="Q1719" s="23">
        <v>45139</v>
      </c>
      <c r="R1719" s="32">
        <v>45505</v>
      </c>
      <c r="V1719" s="33">
        <v>100</v>
      </c>
      <c r="W1719" s="28">
        <v>64.29</v>
      </c>
      <c r="X1719" s="34" t="s">
        <v>54</v>
      </c>
      <c r="Y1719" s="33">
        <v>64.29</v>
      </c>
      <c r="AC1719" s="28">
        <v>64.29</v>
      </c>
      <c r="AD1719" s="34" t="s">
        <v>54</v>
      </c>
      <c r="AE1719" s="33">
        <v>64.29</v>
      </c>
      <c r="AN1719" s="7" t="s">
        <v>54</v>
      </c>
      <c r="AO1719" s="7" t="s">
        <v>55</v>
      </c>
      <c r="AP1719" s="7" t="s">
        <v>56</v>
      </c>
      <c r="AT1719" s="47" t="s">
        <v>57</v>
      </c>
      <c r="AU1719" s="47" t="s">
        <v>57</v>
      </c>
    </row>
    <row r="1720" spans="1:47">
      <c r="A1720" s="4" t="s">
        <v>48</v>
      </c>
      <c r="C1720" s="21"/>
      <c r="D1720" s="22" t="s">
        <v>49</v>
      </c>
      <c r="G1720" s="23">
        <v>45084</v>
      </c>
      <c r="H1720" s="24" t="s">
        <v>5090</v>
      </c>
      <c r="J1720" s="28" t="s">
        <v>51</v>
      </c>
      <c r="L1720" s="24" t="s">
        <v>5091</v>
      </c>
      <c r="M1720" s="1" t="str">
        <f>"341226196812070313"</f>
        <v>341226196812070313</v>
      </c>
      <c r="N1720" s="24" t="s">
        <v>5091</v>
      </c>
      <c r="O1720" s="1" t="str">
        <f>"341226196812070313"</f>
        <v>341226196812070313</v>
      </c>
      <c r="P1720" s="23" t="s">
        <v>5092</v>
      </c>
      <c r="Q1720" s="23">
        <v>45085</v>
      </c>
      <c r="R1720" s="32">
        <v>45451</v>
      </c>
      <c r="V1720" s="33">
        <v>100</v>
      </c>
      <c r="W1720" s="28">
        <v>64.29</v>
      </c>
      <c r="X1720" s="34" t="s">
        <v>54</v>
      </c>
      <c r="Y1720" s="33">
        <v>64.29</v>
      </c>
      <c r="AC1720" s="28">
        <v>64.29</v>
      </c>
      <c r="AD1720" s="34" t="s">
        <v>54</v>
      </c>
      <c r="AE1720" s="33">
        <v>64.29</v>
      </c>
      <c r="AN1720" s="7" t="s">
        <v>54</v>
      </c>
      <c r="AO1720" s="7" t="s">
        <v>55</v>
      </c>
      <c r="AP1720" s="7" t="s">
        <v>56</v>
      </c>
      <c r="AT1720" s="47" t="s">
        <v>57</v>
      </c>
      <c r="AU1720" s="47" t="s">
        <v>57</v>
      </c>
    </row>
    <row r="1721" spans="1:47">
      <c r="A1721" s="4" t="s">
        <v>48</v>
      </c>
      <c r="C1721" s="21"/>
      <c r="D1721" s="22" t="s">
        <v>49</v>
      </c>
      <c r="G1721" s="23">
        <v>45093</v>
      </c>
      <c r="H1721" s="24" t="s">
        <v>5093</v>
      </c>
      <c r="J1721" s="28" t="s">
        <v>51</v>
      </c>
      <c r="L1721" s="24" t="s">
        <v>5094</v>
      </c>
      <c r="M1721" s="1" t="str">
        <f>"341226196610055094"</f>
        <v>341226196610055094</v>
      </c>
      <c r="N1721" s="24" t="s">
        <v>5094</v>
      </c>
      <c r="O1721" s="1" t="str">
        <f>"341226196610055094"</f>
        <v>341226196610055094</v>
      </c>
      <c r="P1721" s="23" t="s">
        <v>5095</v>
      </c>
      <c r="Q1721" s="23">
        <v>45094</v>
      </c>
      <c r="R1721" s="32">
        <v>45460</v>
      </c>
      <c r="V1721" s="33">
        <v>200</v>
      </c>
      <c r="W1721" s="28">
        <v>64.29</v>
      </c>
      <c r="X1721" s="34" t="s">
        <v>54</v>
      </c>
      <c r="Y1721" s="33">
        <v>128.58</v>
      </c>
      <c r="AC1721" s="28">
        <v>64.29</v>
      </c>
      <c r="AD1721" s="34" t="s">
        <v>54</v>
      </c>
      <c r="AE1721" s="33">
        <v>128.58</v>
      </c>
      <c r="AN1721" s="7" t="s">
        <v>54</v>
      </c>
      <c r="AO1721" s="7" t="s">
        <v>55</v>
      </c>
      <c r="AP1721" s="7" t="s">
        <v>56</v>
      </c>
      <c r="AT1721" s="47" t="s">
        <v>57</v>
      </c>
      <c r="AU1721" s="47" t="s">
        <v>57</v>
      </c>
    </row>
    <row r="1722" spans="1:47">
      <c r="A1722" s="4" t="s">
        <v>48</v>
      </c>
      <c r="C1722" s="21"/>
      <c r="D1722" s="22" t="s">
        <v>49</v>
      </c>
      <c r="G1722" s="23">
        <v>45078</v>
      </c>
      <c r="H1722" s="24" t="s">
        <v>5096</v>
      </c>
      <c r="J1722" s="28" t="s">
        <v>51</v>
      </c>
      <c r="L1722" s="24" t="s">
        <v>5097</v>
      </c>
      <c r="M1722" s="1" t="str">
        <f>"342128197405164745"</f>
        <v>342128197405164745</v>
      </c>
      <c r="N1722" s="24" t="s">
        <v>5097</v>
      </c>
      <c r="O1722" s="1" t="str">
        <f>"342128197405164745"</f>
        <v>342128197405164745</v>
      </c>
      <c r="P1722" s="23" t="s">
        <v>5098</v>
      </c>
      <c r="Q1722" s="23">
        <v>45079</v>
      </c>
      <c r="R1722" s="32">
        <v>45445</v>
      </c>
      <c r="V1722" s="33">
        <v>50</v>
      </c>
      <c r="W1722" s="28">
        <v>64.29</v>
      </c>
      <c r="X1722" s="34" t="s">
        <v>54</v>
      </c>
      <c r="Y1722" s="33">
        <v>32.15</v>
      </c>
      <c r="AC1722" s="28">
        <v>64.29</v>
      </c>
      <c r="AD1722" s="34" t="s">
        <v>54</v>
      </c>
      <c r="AE1722" s="33">
        <v>32.15</v>
      </c>
      <c r="AN1722" s="7" t="s">
        <v>54</v>
      </c>
      <c r="AO1722" s="7" t="s">
        <v>55</v>
      </c>
      <c r="AP1722" s="7" t="s">
        <v>56</v>
      </c>
      <c r="AT1722" s="47" t="s">
        <v>57</v>
      </c>
      <c r="AU1722" s="47" t="s">
        <v>57</v>
      </c>
    </row>
    <row r="1723" spans="1:47">
      <c r="A1723" s="4" t="s">
        <v>48</v>
      </c>
      <c r="C1723" s="21"/>
      <c r="D1723" s="22" t="s">
        <v>49</v>
      </c>
      <c r="G1723" s="23">
        <v>45093</v>
      </c>
      <c r="H1723" s="24" t="s">
        <v>5099</v>
      </c>
      <c r="J1723" s="28" t="s">
        <v>51</v>
      </c>
      <c r="L1723" s="24" t="s">
        <v>5100</v>
      </c>
      <c r="M1723" s="1" t="str">
        <f>"362423198808161103"</f>
        <v>362423198808161103</v>
      </c>
      <c r="N1723" s="24" t="s">
        <v>5100</v>
      </c>
      <c r="O1723" s="1" t="str">
        <f>"362423198808161103"</f>
        <v>362423198808161103</v>
      </c>
      <c r="P1723" s="23" t="s">
        <v>5101</v>
      </c>
      <c r="Q1723" s="23">
        <v>45094</v>
      </c>
      <c r="R1723" s="32">
        <v>45460</v>
      </c>
      <c r="V1723" s="33">
        <v>100</v>
      </c>
      <c r="W1723" s="28">
        <v>64.29</v>
      </c>
      <c r="X1723" s="34" t="s">
        <v>54</v>
      </c>
      <c r="Y1723" s="33">
        <v>64.29</v>
      </c>
      <c r="AC1723" s="28">
        <v>64.29</v>
      </c>
      <c r="AD1723" s="34" t="s">
        <v>54</v>
      </c>
      <c r="AE1723" s="33">
        <v>64.29</v>
      </c>
      <c r="AN1723" s="7" t="s">
        <v>54</v>
      </c>
      <c r="AO1723" s="7" t="s">
        <v>55</v>
      </c>
      <c r="AP1723" s="7" t="s">
        <v>56</v>
      </c>
      <c r="AT1723" s="47" t="s">
        <v>57</v>
      </c>
      <c r="AU1723" s="47" t="s">
        <v>57</v>
      </c>
    </row>
    <row r="1724" spans="1:47">
      <c r="A1724" s="4" t="s">
        <v>48</v>
      </c>
      <c r="C1724" s="21"/>
      <c r="D1724" s="22" t="s">
        <v>49</v>
      </c>
      <c r="G1724" s="23">
        <v>45093</v>
      </c>
      <c r="H1724" s="24" t="s">
        <v>5102</v>
      </c>
      <c r="J1724" s="28" t="s">
        <v>51</v>
      </c>
      <c r="L1724" s="24" t="s">
        <v>5103</v>
      </c>
      <c r="M1724" s="1" t="str">
        <f>"341204199112021241"</f>
        <v>341204199112021241</v>
      </c>
      <c r="N1724" s="24" t="s">
        <v>5103</v>
      </c>
      <c r="O1724" s="1" t="str">
        <f>"341204199112021241"</f>
        <v>341204199112021241</v>
      </c>
      <c r="P1724" s="23" t="s">
        <v>5104</v>
      </c>
      <c r="Q1724" s="23">
        <v>45094</v>
      </c>
      <c r="R1724" s="32">
        <v>45460</v>
      </c>
      <c r="V1724" s="33">
        <v>100</v>
      </c>
      <c r="W1724" s="28">
        <v>64.29</v>
      </c>
      <c r="X1724" s="34" t="s">
        <v>54</v>
      </c>
      <c r="Y1724" s="33">
        <v>64.29</v>
      </c>
      <c r="AC1724" s="28">
        <v>64.29</v>
      </c>
      <c r="AD1724" s="34" t="s">
        <v>54</v>
      </c>
      <c r="AE1724" s="33">
        <v>64.29</v>
      </c>
      <c r="AN1724" s="7" t="s">
        <v>54</v>
      </c>
      <c r="AO1724" s="7" t="s">
        <v>55</v>
      </c>
      <c r="AP1724" s="7" t="s">
        <v>56</v>
      </c>
      <c r="AT1724" s="47" t="s">
        <v>57</v>
      </c>
      <c r="AU1724" s="47" t="s">
        <v>57</v>
      </c>
    </row>
    <row r="1725" spans="1:47">
      <c r="A1725" s="4" t="s">
        <v>48</v>
      </c>
      <c r="C1725" s="21"/>
      <c r="D1725" s="22" t="s">
        <v>49</v>
      </c>
      <c r="G1725" s="23">
        <v>45093</v>
      </c>
      <c r="H1725" s="24" t="s">
        <v>5105</v>
      </c>
      <c r="J1725" s="28" t="s">
        <v>51</v>
      </c>
      <c r="L1725" s="24" t="s">
        <v>5106</v>
      </c>
      <c r="M1725" s="1" t="str">
        <f>"131082196609271014"</f>
        <v>131082196609271014</v>
      </c>
      <c r="N1725" s="24" t="s">
        <v>5106</v>
      </c>
      <c r="O1725" s="1" t="str">
        <f>"131082196609271014"</f>
        <v>131082196609271014</v>
      </c>
      <c r="P1725" s="23" t="s">
        <v>5107</v>
      </c>
      <c r="Q1725" s="23">
        <v>45200</v>
      </c>
      <c r="R1725" s="32">
        <v>45566</v>
      </c>
      <c r="V1725" s="33">
        <v>100</v>
      </c>
      <c r="W1725" s="28">
        <v>64.29</v>
      </c>
      <c r="X1725" s="34" t="s">
        <v>54</v>
      </c>
      <c r="Y1725" s="33">
        <v>64.29</v>
      </c>
      <c r="AC1725" s="28">
        <v>64.29</v>
      </c>
      <c r="AD1725" s="34" t="s">
        <v>54</v>
      </c>
      <c r="AE1725" s="33">
        <v>64.29</v>
      </c>
      <c r="AN1725" s="7" t="s">
        <v>54</v>
      </c>
      <c r="AO1725" s="7" t="s">
        <v>55</v>
      </c>
      <c r="AP1725" s="7" t="s">
        <v>56</v>
      </c>
      <c r="AT1725" s="47" t="s">
        <v>57</v>
      </c>
      <c r="AU1725" s="47" t="s">
        <v>57</v>
      </c>
    </row>
    <row r="1726" spans="1:47">
      <c r="A1726" s="4" t="s">
        <v>48</v>
      </c>
      <c r="C1726" s="21"/>
      <c r="D1726" s="22" t="s">
        <v>49</v>
      </c>
      <c r="G1726" s="23">
        <v>45083</v>
      </c>
      <c r="H1726" s="24" t="s">
        <v>5108</v>
      </c>
      <c r="J1726" s="28" t="s">
        <v>51</v>
      </c>
      <c r="L1726" s="24" t="s">
        <v>5109</v>
      </c>
      <c r="M1726" s="1" t="str">
        <f>"34122519850924829X"</f>
        <v>34122519850924829X</v>
      </c>
      <c r="N1726" s="24" t="s">
        <v>5109</v>
      </c>
      <c r="O1726" s="1" t="str">
        <f>"34122519850924829X"</f>
        <v>34122519850924829X</v>
      </c>
      <c r="P1726" s="23" t="s">
        <v>5110</v>
      </c>
      <c r="Q1726" s="23">
        <v>45084</v>
      </c>
      <c r="R1726" s="32">
        <v>45450</v>
      </c>
      <c r="V1726" s="33">
        <v>100</v>
      </c>
      <c r="W1726" s="28">
        <v>64.29</v>
      </c>
      <c r="X1726" s="34" t="s">
        <v>54</v>
      </c>
      <c r="Y1726" s="33">
        <v>64.29</v>
      </c>
      <c r="AC1726" s="28">
        <v>64.29</v>
      </c>
      <c r="AD1726" s="34" t="s">
        <v>54</v>
      </c>
      <c r="AE1726" s="33">
        <v>64.29</v>
      </c>
      <c r="AN1726" s="7" t="s">
        <v>54</v>
      </c>
      <c r="AO1726" s="7" t="s">
        <v>55</v>
      </c>
      <c r="AP1726" s="7" t="s">
        <v>56</v>
      </c>
      <c r="AT1726" s="47" t="s">
        <v>57</v>
      </c>
      <c r="AU1726" s="47" t="s">
        <v>57</v>
      </c>
    </row>
    <row r="1727" spans="1:47">
      <c r="A1727" s="4" t="s">
        <v>48</v>
      </c>
      <c r="C1727" s="21"/>
      <c r="D1727" s="22" t="s">
        <v>49</v>
      </c>
      <c r="G1727" s="23">
        <v>45084</v>
      </c>
      <c r="H1727" s="24" t="s">
        <v>5111</v>
      </c>
      <c r="J1727" s="28" t="s">
        <v>51</v>
      </c>
      <c r="L1727" s="24" t="s">
        <v>645</v>
      </c>
      <c r="M1727" s="1" t="str">
        <f>"342128196807040011"</f>
        <v>342128196807040011</v>
      </c>
      <c r="N1727" s="24" t="s">
        <v>645</v>
      </c>
      <c r="O1727" s="1" t="str">
        <f>"342128196807040011"</f>
        <v>342128196807040011</v>
      </c>
      <c r="P1727" s="23" t="s">
        <v>5112</v>
      </c>
      <c r="Q1727" s="23">
        <v>45115</v>
      </c>
      <c r="R1727" s="32">
        <v>45481</v>
      </c>
      <c r="V1727" s="33">
        <v>100</v>
      </c>
      <c r="W1727" s="28">
        <v>64.29</v>
      </c>
      <c r="X1727" s="34" t="s">
        <v>54</v>
      </c>
      <c r="Y1727" s="33">
        <v>64.29</v>
      </c>
      <c r="AC1727" s="28">
        <v>64.29</v>
      </c>
      <c r="AD1727" s="34" t="s">
        <v>54</v>
      </c>
      <c r="AE1727" s="33">
        <v>64.29</v>
      </c>
      <c r="AN1727" s="7" t="s">
        <v>54</v>
      </c>
      <c r="AO1727" s="7" t="s">
        <v>55</v>
      </c>
      <c r="AP1727" s="7" t="s">
        <v>56</v>
      </c>
      <c r="AT1727" s="47" t="s">
        <v>57</v>
      </c>
      <c r="AU1727" s="47" t="s">
        <v>57</v>
      </c>
    </row>
    <row r="1728" spans="1:47">
      <c r="A1728" s="4" t="s">
        <v>48</v>
      </c>
      <c r="C1728" s="21"/>
      <c r="D1728" s="22" t="s">
        <v>49</v>
      </c>
      <c r="G1728" s="23">
        <v>45092</v>
      </c>
      <c r="H1728" s="24" t="s">
        <v>5113</v>
      </c>
      <c r="J1728" s="28" t="s">
        <v>51</v>
      </c>
      <c r="L1728" s="24" t="s">
        <v>3322</v>
      </c>
      <c r="M1728" s="1" t="str">
        <f>"412702199410012347"</f>
        <v>412702199410012347</v>
      </c>
      <c r="N1728" s="24" t="s">
        <v>3322</v>
      </c>
      <c r="O1728" s="1" t="str">
        <f>"412702199410012347"</f>
        <v>412702199410012347</v>
      </c>
      <c r="P1728" s="23" t="s">
        <v>5114</v>
      </c>
      <c r="Q1728" s="23">
        <v>45093</v>
      </c>
      <c r="R1728" s="32">
        <v>45459</v>
      </c>
      <c r="V1728" s="33">
        <v>200</v>
      </c>
      <c r="W1728" s="28">
        <v>64.29</v>
      </c>
      <c r="X1728" s="34" t="s">
        <v>54</v>
      </c>
      <c r="Y1728" s="33">
        <v>128.58</v>
      </c>
      <c r="AC1728" s="28">
        <v>64.29</v>
      </c>
      <c r="AD1728" s="34" t="s">
        <v>54</v>
      </c>
      <c r="AE1728" s="33">
        <v>128.58</v>
      </c>
      <c r="AN1728" s="7" t="s">
        <v>54</v>
      </c>
      <c r="AO1728" s="7" t="s">
        <v>55</v>
      </c>
      <c r="AP1728" s="7" t="s">
        <v>56</v>
      </c>
      <c r="AT1728" s="47" t="s">
        <v>57</v>
      </c>
      <c r="AU1728" s="47" t="s">
        <v>57</v>
      </c>
    </row>
    <row r="1729" spans="1:47">
      <c r="A1729" s="4" t="s">
        <v>48</v>
      </c>
      <c r="C1729" s="21"/>
      <c r="D1729" s="22" t="s">
        <v>49</v>
      </c>
      <c r="G1729" s="23">
        <v>45092</v>
      </c>
      <c r="H1729" s="24" t="s">
        <v>5115</v>
      </c>
      <c r="J1729" s="28" t="s">
        <v>51</v>
      </c>
      <c r="L1729" s="24" t="s">
        <v>5116</v>
      </c>
      <c r="M1729" s="1" t="str">
        <f>"342128197408080061"</f>
        <v>342128197408080061</v>
      </c>
      <c r="N1729" s="24" t="s">
        <v>5116</v>
      </c>
      <c r="O1729" s="1" t="str">
        <f>"342128197408080061"</f>
        <v>342128197408080061</v>
      </c>
      <c r="P1729" s="23" t="s">
        <v>5117</v>
      </c>
      <c r="Q1729" s="23">
        <v>45093</v>
      </c>
      <c r="R1729" s="32">
        <v>45459</v>
      </c>
      <c r="V1729" s="33">
        <v>200</v>
      </c>
      <c r="W1729" s="28">
        <v>64.29</v>
      </c>
      <c r="X1729" s="34" t="s">
        <v>54</v>
      </c>
      <c r="Y1729" s="33">
        <v>128.58</v>
      </c>
      <c r="AC1729" s="28">
        <v>64.29</v>
      </c>
      <c r="AD1729" s="34" t="s">
        <v>54</v>
      </c>
      <c r="AE1729" s="33">
        <v>128.58</v>
      </c>
      <c r="AN1729" s="7" t="s">
        <v>54</v>
      </c>
      <c r="AO1729" s="7" t="s">
        <v>55</v>
      </c>
      <c r="AP1729" s="7" t="s">
        <v>56</v>
      </c>
      <c r="AT1729" s="47" t="s">
        <v>57</v>
      </c>
      <c r="AU1729" s="47" t="s">
        <v>57</v>
      </c>
    </row>
    <row r="1730" spans="1:47">
      <c r="A1730" s="4" t="s">
        <v>48</v>
      </c>
      <c r="C1730" s="21"/>
      <c r="D1730" s="22" t="s">
        <v>49</v>
      </c>
      <c r="G1730" s="23">
        <v>45090</v>
      </c>
      <c r="H1730" s="24" t="s">
        <v>5118</v>
      </c>
      <c r="J1730" s="28" t="s">
        <v>51</v>
      </c>
      <c r="L1730" s="24" t="s">
        <v>345</v>
      </c>
      <c r="M1730" s="1" t="str">
        <f>"131023198806060442"</f>
        <v>131023198806060442</v>
      </c>
      <c r="N1730" s="24" t="s">
        <v>345</v>
      </c>
      <c r="O1730" s="1" t="str">
        <f>"131023198806060442"</f>
        <v>131023198806060442</v>
      </c>
      <c r="P1730" s="23" t="s">
        <v>5119</v>
      </c>
      <c r="Q1730" s="23">
        <v>45091</v>
      </c>
      <c r="R1730" s="32">
        <v>45457</v>
      </c>
      <c r="V1730" s="33">
        <v>200</v>
      </c>
      <c r="W1730" s="28">
        <v>64.29</v>
      </c>
      <c r="X1730" s="34" t="s">
        <v>54</v>
      </c>
      <c r="Y1730" s="33">
        <v>128.58</v>
      </c>
      <c r="AC1730" s="28">
        <v>64.29</v>
      </c>
      <c r="AD1730" s="34" t="s">
        <v>54</v>
      </c>
      <c r="AE1730" s="33">
        <v>128.58</v>
      </c>
      <c r="AN1730" s="7" t="s">
        <v>54</v>
      </c>
      <c r="AO1730" s="7" t="s">
        <v>55</v>
      </c>
      <c r="AP1730" s="7" t="s">
        <v>56</v>
      </c>
      <c r="AT1730" s="47" t="s">
        <v>57</v>
      </c>
      <c r="AU1730" s="47" t="s">
        <v>57</v>
      </c>
    </row>
    <row r="1731" spans="1:47">
      <c r="A1731" s="4" t="s">
        <v>48</v>
      </c>
      <c r="C1731" s="21"/>
      <c r="D1731" s="22" t="s">
        <v>49</v>
      </c>
      <c r="G1731" s="23">
        <v>45091</v>
      </c>
      <c r="H1731" s="24" t="s">
        <v>5120</v>
      </c>
      <c r="J1731" s="28" t="s">
        <v>51</v>
      </c>
      <c r="L1731" s="24" t="s">
        <v>5121</v>
      </c>
      <c r="M1731" s="1" t="str">
        <f>"341226197410025012"</f>
        <v>341226197410025012</v>
      </c>
      <c r="N1731" s="24" t="s">
        <v>5121</v>
      </c>
      <c r="O1731" s="1" t="str">
        <f>"341226197410025012"</f>
        <v>341226197410025012</v>
      </c>
      <c r="P1731" s="23" t="s">
        <v>5122</v>
      </c>
      <c r="Q1731" s="23">
        <v>45092</v>
      </c>
      <c r="R1731" s="32">
        <v>45458</v>
      </c>
      <c r="V1731" s="33">
        <v>200</v>
      </c>
      <c r="W1731" s="28">
        <v>64.29</v>
      </c>
      <c r="X1731" s="34" t="s">
        <v>54</v>
      </c>
      <c r="Y1731" s="33">
        <v>128.58</v>
      </c>
      <c r="AC1731" s="28">
        <v>64.29</v>
      </c>
      <c r="AD1731" s="34" t="s">
        <v>54</v>
      </c>
      <c r="AE1731" s="33">
        <v>128.58</v>
      </c>
      <c r="AN1731" s="7" t="s">
        <v>54</v>
      </c>
      <c r="AO1731" s="7" t="s">
        <v>55</v>
      </c>
      <c r="AP1731" s="7" t="s">
        <v>56</v>
      </c>
      <c r="AT1731" s="47" t="s">
        <v>57</v>
      </c>
      <c r="AU1731" s="47" t="s">
        <v>57</v>
      </c>
    </row>
    <row r="1732" spans="1:47">
      <c r="A1732" s="4" t="s">
        <v>48</v>
      </c>
      <c r="C1732" s="21"/>
      <c r="D1732" s="22" t="s">
        <v>49</v>
      </c>
      <c r="G1732" s="23">
        <v>45089</v>
      </c>
      <c r="H1732" s="24" t="s">
        <v>5123</v>
      </c>
      <c r="J1732" s="28" t="s">
        <v>51</v>
      </c>
      <c r="L1732" s="24" t="s">
        <v>5124</v>
      </c>
      <c r="M1732" s="1" t="str">
        <f>"342128197005065756"</f>
        <v>342128197005065756</v>
      </c>
      <c r="N1732" s="24" t="s">
        <v>5124</v>
      </c>
      <c r="O1732" s="1" t="str">
        <f>"342128197005065756"</f>
        <v>342128197005065756</v>
      </c>
      <c r="P1732" s="23" t="s">
        <v>5125</v>
      </c>
      <c r="Q1732" s="23">
        <v>45090</v>
      </c>
      <c r="R1732" s="32">
        <v>45456</v>
      </c>
      <c r="V1732" s="33">
        <v>200</v>
      </c>
      <c r="W1732" s="28">
        <v>64.29</v>
      </c>
      <c r="X1732" s="34" t="s">
        <v>54</v>
      </c>
      <c r="Y1732" s="33">
        <v>128.58</v>
      </c>
      <c r="AC1732" s="28">
        <v>64.29</v>
      </c>
      <c r="AD1732" s="34" t="s">
        <v>54</v>
      </c>
      <c r="AE1732" s="33">
        <v>128.58</v>
      </c>
      <c r="AN1732" s="7" t="s">
        <v>54</v>
      </c>
      <c r="AO1732" s="7" t="s">
        <v>55</v>
      </c>
      <c r="AP1732" s="7" t="s">
        <v>56</v>
      </c>
      <c r="AT1732" s="47" t="s">
        <v>57</v>
      </c>
      <c r="AU1732" s="47" t="s">
        <v>57</v>
      </c>
    </row>
    <row r="1733" spans="1:47">
      <c r="A1733" s="4" t="s">
        <v>48</v>
      </c>
      <c r="C1733" s="21"/>
      <c r="D1733" s="22" t="s">
        <v>49</v>
      </c>
      <c r="G1733" s="23">
        <v>45089</v>
      </c>
      <c r="H1733" s="24" t="s">
        <v>5126</v>
      </c>
      <c r="J1733" s="28" t="s">
        <v>51</v>
      </c>
      <c r="L1733" s="24" t="s">
        <v>5127</v>
      </c>
      <c r="M1733" s="1" t="str">
        <f>"342128196907015913"</f>
        <v>342128196907015913</v>
      </c>
      <c r="N1733" s="24" t="s">
        <v>5127</v>
      </c>
      <c r="O1733" s="1" t="str">
        <f>"342128196907015913"</f>
        <v>342128196907015913</v>
      </c>
      <c r="P1733" s="23" t="s">
        <v>5128</v>
      </c>
      <c r="Q1733" s="23">
        <v>45090</v>
      </c>
      <c r="R1733" s="32">
        <v>45456</v>
      </c>
      <c r="V1733" s="33">
        <v>200</v>
      </c>
      <c r="W1733" s="28">
        <v>64.29</v>
      </c>
      <c r="X1733" s="34" t="s">
        <v>54</v>
      </c>
      <c r="Y1733" s="33">
        <v>128.58</v>
      </c>
      <c r="AC1733" s="28">
        <v>64.29</v>
      </c>
      <c r="AD1733" s="34" t="s">
        <v>54</v>
      </c>
      <c r="AE1733" s="33">
        <v>128.58</v>
      </c>
      <c r="AN1733" s="7" t="s">
        <v>54</v>
      </c>
      <c r="AO1733" s="7" t="s">
        <v>55</v>
      </c>
      <c r="AP1733" s="7" t="s">
        <v>56</v>
      </c>
      <c r="AT1733" s="47" t="s">
        <v>57</v>
      </c>
      <c r="AU1733" s="47" t="s">
        <v>57</v>
      </c>
    </row>
    <row r="1734" spans="1:47">
      <c r="A1734" s="4" t="s">
        <v>48</v>
      </c>
      <c r="C1734" s="21"/>
      <c r="D1734" s="22" t="s">
        <v>49</v>
      </c>
      <c r="G1734" s="23">
        <v>45075</v>
      </c>
      <c r="H1734" s="24" t="s">
        <v>5129</v>
      </c>
      <c r="J1734" s="28" t="s">
        <v>51</v>
      </c>
      <c r="L1734" s="24" t="s">
        <v>5130</v>
      </c>
      <c r="M1734" s="1" t="str">
        <f>"34122619800205031X"</f>
        <v>34122619800205031X</v>
      </c>
      <c r="N1734" s="24" t="s">
        <v>5130</v>
      </c>
      <c r="O1734" s="1" t="str">
        <f>"34122619800205031X"</f>
        <v>34122619800205031X</v>
      </c>
      <c r="P1734" s="23" t="s">
        <v>5131</v>
      </c>
      <c r="Q1734" s="23">
        <v>45076</v>
      </c>
      <c r="R1734" s="32">
        <v>45442</v>
      </c>
      <c r="V1734" s="33">
        <v>50</v>
      </c>
      <c r="W1734" s="28">
        <v>64.29</v>
      </c>
      <c r="X1734" s="34" t="s">
        <v>54</v>
      </c>
      <c r="Y1734" s="33">
        <v>32.15</v>
      </c>
      <c r="AC1734" s="28">
        <v>64.29</v>
      </c>
      <c r="AD1734" s="34" t="s">
        <v>54</v>
      </c>
      <c r="AE1734" s="33">
        <v>32.15</v>
      </c>
      <c r="AN1734" s="7" t="s">
        <v>54</v>
      </c>
      <c r="AO1734" s="7" t="s">
        <v>55</v>
      </c>
      <c r="AP1734" s="7" t="s">
        <v>56</v>
      </c>
      <c r="AT1734" s="47" t="s">
        <v>57</v>
      </c>
      <c r="AU1734" s="47" t="s">
        <v>57</v>
      </c>
    </row>
    <row r="1735" spans="1:47">
      <c r="A1735" s="4" t="s">
        <v>48</v>
      </c>
      <c r="C1735" s="21"/>
      <c r="D1735" s="22" t="s">
        <v>49</v>
      </c>
      <c r="G1735" s="23">
        <v>45076</v>
      </c>
      <c r="H1735" s="24" t="s">
        <v>5132</v>
      </c>
      <c r="J1735" s="28" t="s">
        <v>51</v>
      </c>
      <c r="L1735" s="24" t="s">
        <v>5133</v>
      </c>
      <c r="M1735" s="1" t="str">
        <f>"341226198112102141"</f>
        <v>341226198112102141</v>
      </c>
      <c r="N1735" s="24" t="s">
        <v>5133</v>
      </c>
      <c r="O1735" s="1" t="str">
        <f>"341226198112102141"</f>
        <v>341226198112102141</v>
      </c>
      <c r="P1735" s="23" t="s">
        <v>5134</v>
      </c>
      <c r="Q1735" s="23">
        <v>45077</v>
      </c>
      <c r="R1735" s="32">
        <v>45443</v>
      </c>
      <c r="V1735" s="33">
        <v>50</v>
      </c>
      <c r="W1735" s="28">
        <v>64.29</v>
      </c>
      <c r="X1735" s="34" t="s">
        <v>54</v>
      </c>
      <c r="Y1735" s="33">
        <v>32.15</v>
      </c>
      <c r="AC1735" s="28">
        <v>64.29</v>
      </c>
      <c r="AD1735" s="34" t="s">
        <v>54</v>
      </c>
      <c r="AE1735" s="33">
        <v>32.15</v>
      </c>
      <c r="AN1735" s="7" t="s">
        <v>54</v>
      </c>
      <c r="AO1735" s="7" t="s">
        <v>55</v>
      </c>
      <c r="AP1735" s="7" t="s">
        <v>56</v>
      </c>
      <c r="AT1735" s="47" t="s">
        <v>57</v>
      </c>
      <c r="AU1735" s="47" t="s">
        <v>57</v>
      </c>
    </row>
    <row r="1736" spans="1:47">
      <c r="A1736" s="4" t="s">
        <v>48</v>
      </c>
      <c r="C1736" s="21"/>
      <c r="D1736" s="22" t="s">
        <v>49</v>
      </c>
      <c r="G1736" s="23">
        <v>45074</v>
      </c>
      <c r="H1736" s="24" t="s">
        <v>5135</v>
      </c>
      <c r="J1736" s="28" t="s">
        <v>51</v>
      </c>
      <c r="L1736" s="24" t="s">
        <v>5136</v>
      </c>
      <c r="M1736" s="1" t="str">
        <f>"341226199106040487"</f>
        <v>341226199106040487</v>
      </c>
      <c r="N1736" s="24" t="s">
        <v>5136</v>
      </c>
      <c r="O1736" s="1" t="str">
        <f>"341226199106040487"</f>
        <v>341226199106040487</v>
      </c>
      <c r="P1736" s="23" t="s">
        <v>5137</v>
      </c>
      <c r="Q1736" s="23">
        <v>45075</v>
      </c>
      <c r="R1736" s="32">
        <v>45441</v>
      </c>
      <c r="V1736" s="33">
        <v>50</v>
      </c>
      <c r="W1736" s="28">
        <v>64.29</v>
      </c>
      <c r="X1736" s="34" t="s">
        <v>54</v>
      </c>
      <c r="Y1736" s="33">
        <v>32.15</v>
      </c>
      <c r="AC1736" s="28">
        <v>64.29</v>
      </c>
      <c r="AD1736" s="34" t="s">
        <v>54</v>
      </c>
      <c r="AE1736" s="33">
        <v>32.15</v>
      </c>
      <c r="AN1736" s="7" t="s">
        <v>54</v>
      </c>
      <c r="AO1736" s="7" t="s">
        <v>55</v>
      </c>
      <c r="AP1736" s="7" t="s">
        <v>56</v>
      </c>
      <c r="AT1736" s="47" t="s">
        <v>57</v>
      </c>
      <c r="AU1736" s="47" t="s">
        <v>57</v>
      </c>
    </row>
    <row r="1737" spans="1:47">
      <c r="A1737" s="4" t="s">
        <v>48</v>
      </c>
      <c r="C1737" s="21"/>
      <c r="D1737" s="22" t="s">
        <v>49</v>
      </c>
      <c r="G1737" s="23">
        <v>45091</v>
      </c>
      <c r="H1737" s="24" t="s">
        <v>5138</v>
      </c>
      <c r="J1737" s="28" t="s">
        <v>51</v>
      </c>
      <c r="L1737" s="24" t="s">
        <v>5139</v>
      </c>
      <c r="M1737" s="1" t="str">
        <f>"132530195810052216"</f>
        <v>132530195810052216</v>
      </c>
      <c r="N1737" s="24" t="s">
        <v>5139</v>
      </c>
      <c r="O1737" s="1" t="str">
        <f>"132530195810052216"</f>
        <v>132530195810052216</v>
      </c>
      <c r="P1737" s="23" t="s">
        <v>5140</v>
      </c>
      <c r="Q1737" s="23">
        <v>45092</v>
      </c>
      <c r="R1737" s="32">
        <v>45458</v>
      </c>
      <c r="V1737" s="33">
        <v>100</v>
      </c>
      <c r="W1737" s="28">
        <v>64.29</v>
      </c>
      <c r="X1737" s="34" t="s">
        <v>54</v>
      </c>
      <c r="Y1737" s="33">
        <v>64.29</v>
      </c>
      <c r="AC1737" s="28">
        <v>64.29</v>
      </c>
      <c r="AD1737" s="34" t="s">
        <v>54</v>
      </c>
      <c r="AE1737" s="33">
        <v>64.29</v>
      </c>
      <c r="AN1737" s="7" t="s">
        <v>54</v>
      </c>
      <c r="AO1737" s="7" t="s">
        <v>55</v>
      </c>
      <c r="AP1737" s="7" t="s">
        <v>56</v>
      </c>
      <c r="AT1737" s="47" t="s">
        <v>57</v>
      </c>
      <c r="AU1737" s="47" t="s">
        <v>57</v>
      </c>
    </row>
    <row r="1738" spans="1:47">
      <c r="A1738" s="4" t="s">
        <v>48</v>
      </c>
      <c r="C1738" s="21"/>
      <c r="D1738" s="22" t="s">
        <v>49</v>
      </c>
      <c r="G1738" s="23">
        <v>45091</v>
      </c>
      <c r="H1738" s="24" t="s">
        <v>5141</v>
      </c>
      <c r="J1738" s="28" t="s">
        <v>51</v>
      </c>
      <c r="L1738" s="24" t="s">
        <v>5142</v>
      </c>
      <c r="M1738" s="1" t="str">
        <f>"132825197209110213"</f>
        <v>132825197209110213</v>
      </c>
      <c r="N1738" s="24" t="s">
        <v>5142</v>
      </c>
      <c r="O1738" s="1" t="str">
        <f>"132825197209110213"</f>
        <v>132825197209110213</v>
      </c>
      <c r="P1738" s="23" t="s">
        <v>5143</v>
      </c>
      <c r="Q1738" s="23">
        <v>45214</v>
      </c>
      <c r="R1738" s="32">
        <v>45580</v>
      </c>
      <c r="V1738" s="33">
        <v>100</v>
      </c>
      <c r="W1738" s="28">
        <v>64.29</v>
      </c>
      <c r="X1738" s="34" t="s">
        <v>54</v>
      </c>
      <c r="Y1738" s="33">
        <v>64.29</v>
      </c>
      <c r="AC1738" s="28">
        <v>64.29</v>
      </c>
      <c r="AD1738" s="34" t="s">
        <v>54</v>
      </c>
      <c r="AE1738" s="33">
        <v>64.29</v>
      </c>
      <c r="AN1738" s="7" t="s">
        <v>54</v>
      </c>
      <c r="AO1738" s="7" t="s">
        <v>55</v>
      </c>
      <c r="AP1738" s="7" t="s">
        <v>56</v>
      </c>
      <c r="AT1738" s="47" t="s">
        <v>57</v>
      </c>
      <c r="AU1738" s="47" t="s">
        <v>57</v>
      </c>
    </row>
    <row r="1739" spans="1:47">
      <c r="A1739" s="4" t="s">
        <v>48</v>
      </c>
      <c r="C1739" s="21"/>
      <c r="D1739" s="22" t="s">
        <v>49</v>
      </c>
      <c r="G1739" s="23">
        <v>45091</v>
      </c>
      <c r="H1739" s="24" t="s">
        <v>5144</v>
      </c>
      <c r="J1739" s="28" t="s">
        <v>51</v>
      </c>
      <c r="L1739" s="24" t="s">
        <v>5145</v>
      </c>
      <c r="M1739" s="1" t="str">
        <f>"341204197203010020"</f>
        <v>341204197203010020</v>
      </c>
      <c r="N1739" s="24" t="s">
        <v>5145</v>
      </c>
      <c r="O1739" s="1" t="str">
        <f>"341204197203010020"</f>
        <v>341204197203010020</v>
      </c>
      <c r="P1739" s="23" t="s">
        <v>5146</v>
      </c>
      <c r="Q1739" s="23">
        <v>45138</v>
      </c>
      <c r="R1739" s="32">
        <v>45504</v>
      </c>
      <c r="V1739" s="33">
        <v>100</v>
      </c>
      <c r="W1739" s="28">
        <v>64.29</v>
      </c>
      <c r="X1739" s="34" t="s">
        <v>54</v>
      </c>
      <c r="Y1739" s="33">
        <v>64.29</v>
      </c>
      <c r="AC1739" s="28">
        <v>64.29</v>
      </c>
      <c r="AD1739" s="34" t="s">
        <v>54</v>
      </c>
      <c r="AE1739" s="33">
        <v>64.29</v>
      </c>
      <c r="AN1739" s="7" t="s">
        <v>54</v>
      </c>
      <c r="AO1739" s="7" t="s">
        <v>55</v>
      </c>
      <c r="AP1739" s="7" t="s">
        <v>56</v>
      </c>
      <c r="AT1739" s="47" t="s">
        <v>57</v>
      </c>
      <c r="AU1739" s="47" t="s">
        <v>57</v>
      </c>
    </row>
    <row r="1740" spans="1:47">
      <c r="A1740" s="4" t="s">
        <v>48</v>
      </c>
      <c r="C1740" s="21"/>
      <c r="D1740" s="22" t="s">
        <v>49</v>
      </c>
      <c r="G1740" s="23">
        <v>45092</v>
      </c>
      <c r="H1740" s="24" t="s">
        <v>5147</v>
      </c>
      <c r="J1740" s="28" t="s">
        <v>51</v>
      </c>
      <c r="L1740" s="24" t="s">
        <v>5148</v>
      </c>
      <c r="M1740" s="1" t="str">
        <f>"342128197510120314"</f>
        <v>342128197510120314</v>
      </c>
      <c r="N1740" s="24" t="s">
        <v>5148</v>
      </c>
      <c r="O1740" s="1" t="str">
        <f>"342128197510120314"</f>
        <v>342128197510120314</v>
      </c>
      <c r="P1740" s="23" t="s">
        <v>5149</v>
      </c>
      <c r="Q1740" s="23">
        <v>45215</v>
      </c>
      <c r="R1740" s="32">
        <v>45581</v>
      </c>
      <c r="V1740" s="33">
        <v>100</v>
      </c>
      <c r="W1740" s="28">
        <v>64.29</v>
      </c>
      <c r="X1740" s="34" t="s">
        <v>54</v>
      </c>
      <c r="Y1740" s="33">
        <v>64.29</v>
      </c>
      <c r="AC1740" s="28">
        <v>64.29</v>
      </c>
      <c r="AD1740" s="34" t="s">
        <v>54</v>
      </c>
      <c r="AE1740" s="33">
        <v>64.29</v>
      </c>
      <c r="AN1740" s="7" t="s">
        <v>54</v>
      </c>
      <c r="AO1740" s="7" t="s">
        <v>55</v>
      </c>
      <c r="AP1740" s="7" t="s">
        <v>56</v>
      </c>
      <c r="AT1740" s="47" t="s">
        <v>57</v>
      </c>
      <c r="AU1740" s="47" t="s">
        <v>57</v>
      </c>
    </row>
    <row r="1741" spans="1:47">
      <c r="A1741" s="4" t="s">
        <v>48</v>
      </c>
      <c r="C1741" s="21"/>
      <c r="D1741" s="22" t="s">
        <v>49</v>
      </c>
      <c r="G1741" s="23">
        <v>45079</v>
      </c>
      <c r="H1741" s="24" t="s">
        <v>5150</v>
      </c>
      <c r="J1741" s="28" t="s">
        <v>51</v>
      </c>
      <c r="L1741" s="24" t="s">
        <v>5151</v>
      </c>
      <c r="M1741" s="1" t="str">
        <f>"342121197008252747"</f>
        <v>342121197008252747</v>
      </c>
      <c r="N1741" s="24" t="s">
        <v>5151</v>
      </c>
      <c r="O1741" s="1" t="str">
        <f>"342121197008252747"</f>
        <v>342121197008252747</v>
      </c>
      <c r="P1741" s="23" t="s">
        <v>5152</v>
      </c>
      <c r="Q1741" s="23">
        <v>45080</v>
      </c>
      <c r="R1741" s="32">
        <v>45446</v>
      </c>
      <c r="V1741" s="33">
        <v>100</v>
      </c>
      <c r="W1741" s="28">
        <v>64.29</v>
      </c>
      <c r="X1741" s="34" t="s">
        <v>54</v>
      </c>
      <c r="Y1741" s="33">
        <v>64.29</v>
      </c>
      <c r="AC1741" s="28">
        <v>64.29</v>
      </c>
      <c r="AD1741" s="34" t="s">
        <v>54</v>
      </c>
      <c r="AE1741" s="33">
        <v>64.29</v>
      </c>
      <c r="AN1741" s="7" t="s">
        <v>54</v>
      </c>
      <c r="AO1741" s="7" t="s">
        <v>55</v>
      </c>
      <c r="AP1741" s="7" t="s">
        <v>56</v>
      </c>
      <c r="AT1741" s="47" t="s">
        <v>57</v>
      </c>
      <c r="AU1741" s="47" t="s">
        <v>57</v>
      </c>
    </row>
    <row r="1742" spans="1:47">
      <c r="A1742" s="4" t="s">
        <v>48</v>
      </c>
      <c r="C1742" s="21"/>
      <c r="D1742" s="22" t="s">
        <v>49</v>
      </c>
      <c r="G1742" s="23">
        <v>45079</v>
      </c>
      <c r="H1742" s="24" t="s">
        <v>5153</v>
      </c>
      <c r="J1742" s="28" t="s">
        <v>51</v>
      </c>
      <c r="L1742" s="24" t="s">
        <v>5154</v>
      </c>
      <c r="M1742" s="1" t="str">
        <f>"131023199002260427"</f>
        <v>131023199002260427</v>
      </c>
      <c r="N1742" s="24" t="s">
        <v>5154</v>
      </c>
      <c r="O1742" s="1" t="str">
        <f>"131023199002260427"</f>
        <v>131023199002260427</v>
      </c>
      <c r="P1742" s="23" t="s">
        <v>5155</v>
      </c>
      <c r="Q1742" s="23">
        <v>45139</v>
      </c>
      <c r="R1742" s="32">
        <v>45505</v>
      </c>
      <c r="V1742" s="33">
        <v>100</v>
      </c>
      <c r="W1742" s="28">
        <v>64.29</v>
      </c>
      <c r="X1742" s="34" t="s">
        <v>54</v>
      </c>
      <c r="Y1742" s="33">
        <v>64.29</v>
      </c>
      <c r="AC1742" s="28">
        <v>64.29</v>
      </c>
      <c r="AD1742" s="34" t="s">
        <v>54</v>
      </c>
      <c r="AE1742" s="33">
        <v>64.29</v>
      </c>
      <c r="AN1742" s="7" t="s">
        <v>54</v>
      </c>
      <c r="AO1742" s="7" t="s">
        <v>55</v>
      </c>
      <c r="AP1742" s="7" t="s">
        <v>56</v>
      </c>
      <c r="AT1742" s="47" t="s">
        <v>57</v>
      </c>
      <c r="AU1742" s="47" t="s">
        <v>57</v>
      </c>
    </row>
    <row r="1743" spans="1:47">
      <c r="A1743" s="4" t="s">
        <v>48</v>
      </c>
      <c r="C1743" s="21"/>
      <c r="D1743" s="22" t="s">
        <v>49</v>
      </c>
      <c r="G1743" s="23">
        <v>45079</v>
      </c>
      <c r="H1743" s="24" t="s">
        <v>5156</v>
      </c>
      <c r="J1743" s="28" t="s">
        <v>51</v>
      </c>
      <c r="L1743" s="24" t="s">
        <v>5157</v>
      </c>
      <c r="M1743" s="1" t="str">
        <f>"132821196912095529"</f>
        <v>132821196912095529</v>
      </c>
      <c r="N1743" s="24" t="s">
        <v>5157</v>
      </c>
      <c r="O1743" s="1" t="str">
        <f>"132821196912095529"</f>
        <v>132821196912095529</v>
      </c>
      <c r="P1743" s="23" t="s">
        <v>5158</v>
      </c>
      <c r="Q1743" s="23">
        <v>45080</v>
      </c>
      <c r="R1743" s="32">
        <v>45446</v>
      </c>
      <c r="V1743" s="33">
        <v>100</v>
      </c>
      <c r="W1743" s="28">
        <v>64.29</v>
      </c>
      <c r="X1743" s="34" t="s">
        <v>54</v>
      </c>
      <c r="Y1743" s="33">
        <v>64.29</v>
      </c>
      <c r="AC1743" s="28">
        <v>64.29</v>
      </c>
      <c r="AD1743" s="34" t="s">
        <v>54</v>
      </c>
      <c r="AE1743" s="33">
        <v>64.29</v>
      </c>
      <c r="AN1743" s="7" t="s">
        <v>54</v>
      </c>
      <c r="AO1743" s="7" t="s">
        <v>55</v>
      </c>
      <c r="AP1743" s="7" t="s">
        <v>56</v>
      </c>
      <c r="AT1743" s="47" t="s">
        <v>57</v>
      </c>
      <c r="AU1743" s="47" t="s">
        <v>57</v>
      </c>
    </row>
    <row r="1744" spans="1:47">
      <c r="A1744" s="4" t="s">
        <v>48</v>
      </c>
      <c r="C1744" s="21"/>
      <c r="D1744" s="22" t="s">
        <v>49</v>
      </c>
      <c r="G1744" s="23">
        <v>45080</v>
      </c>
      <c r="H1744" s="24" t="s">
        <v>5159</v>
      </c>
      <c r="J1744" s="28" t="s">
        <v>51</v>
      </c>
      <c r="L1744" s="24" t="s">
        <v>5160</v>
      </c>
      <c r="M1744" s="1" t="str">
        <f>"132825197305102416"</f>
        <v>132825197305102416</v>
      </c>
      <c r="N1744" s="24" t="s">
        <v>5160</v>
      </c>
      <c r="O1744" s="1" t="str">
        <f>"132825197305102416"</f>
        <v>132825197305102416</v>
      </c>
      <c r="P1744" s="23" t="s">
        <v>5161</v>
      </c>
      <c r="Q1744" s="23">
        <v>45081</v>
      </c>
      <c r="R1744" s="32">
        <v>45447</v>
      </c>
      <c r="V1744" s="33">
        <v>100</v>
      </c>
      <c r="W1744" s="28">
        <v>64.29</v>
      </c>
      <c r="X1744" s="34" t="s">
        <v>54</v>
      </c>
      <c r="Y1744" s="33">
        <v>64.29</v>
      </c>
      <c r="AC1744" s="28">
        <v>64.29</v>
      </c>
      <c r="AD1744" s="34" t="s">
        <v>54</v>
      </c>
      <c r="AE1744" s="33">
        <v>64.29</v>
      </c>
      <c r="AN1744" s="7" t="s">
        <v>54</v>
      </c>
      <c r="AO1744" s="7" t="s">
        <v>55</v>
      </c>
      <c r="AP1744" s="7" t="s">
        <v>56</v>
      </c>
      <c r="AT1744" s="47" t="s">
        <v>57</v>
      </c>
      <c r="AU1744" s="47" t="s">
        <v>57</v>
      </c>
    </row>
    <row r="1745" spans="1:47">
      <c r="A1745" s="4" t="s">
        <v>48</v>
      </c>
      <c r="C1745" s="21"/>
      <c r="D1745" s="22" t="s">
        <v>49</v>
      </c>
      <c r="G1745" s="23">
        <v>45082</v>
      </c>
      <c r="H1745" s="24" t="s">
        <v>5162</v>
      </c>
      <c r="J1745" s="28" t="s">
        <v>51</v>
      </c>
      <c r="L1745" s="24" t="s">
        <v>5163</v>
      </c>
      <c r="M1745" s="1" t="str">
        <f>"140622198512060014"</f>
        <v>140622198512060014</v>
      </c>
      <c r="N1745" s="24" t="s">
        <v>5163</v>
      </c>
      <c r="O1745" s="1" t="str">
        <f>"140622198512060014"</f>
        <v>140622198512060014</v>
      </c>
      <c r="P1745" s="23" t="s">
        <v>5164</v>
      </c>
      <c r="Q1745" s="23">
        <v>45083</v>
      </c>
      <c r="R1745" s="32">
        <v>45449</v>
      </c>
      <c r="V1745" s="33">
        <v>100</v>
      </c>
      <c r="W1745" s="28">
        <v>64.29</v>
      </c>
      <c r="X1745" s="34" t="s">
        <v>54</v>
      </c>
      <c r="Y1745" s="33">
        <v>64.29</v>
      </c>
      <c r="AC1745" s="28">
        <v>64.29</v>
      </c>
      <c r="AD1745" s="34" t="s">
        <v>54</v>
      </c>
      <c r="AE1745" s="33">
        <v>64.29</v>
      </c>
      <c r="AN1745" s="7" t="s">
        <v>54</v>
      </c>
      <c r="AO1745" s="7" t="s">
        <v>55</v>
      </c>
      <c r="AP1745" s="7" t="s">
        <v>56</v>
      </c>
      <c r="AT1745" s="47" t="s">
        <v>57</v>
      </c>
      <c r="AU1745" s="47" t="s">
        <v>57</v>
      </c>
    </row>
    <row r="1746" spans="1:47">
      <c r="A1746" s="4" t="s">
        <v>48</v>
      </c>
      <c r="C1746" s="21"/>
      <c r="D1746" s="22" t="s">
        <v>49</v>
      </c>
      <c r="G1746" s="23">
        <v>45079</v>
      </c>
      <c r="H1746" s="24" t="s">
        <v>5165</v>
      </c>
      <c r="J1746" s="28" t="s">
        <v>51</v>
      </c>
      <c r="L1746" s="24" t="s">
        <v>5166</v>
      </c>
      <c r="M1746" s="1" t="str">
        <f>"211323196807224127"</f>
        <v>211323196807224127</v>
      </c>
      <c r="N1746" s="24" t="s">
        <v>5166</v>
      </c>
      <c r="O1746" s="1" t="str">
        <f>"211323196807224127"</f>
        <v>211323196807224127</v>
      </c>
      <c r="P1746" s="23" t="s">
        <v>5167</v>
      </c>
      <c r="Q1746" s="23">
        <v>45080</v>
      </c>
      <c r="R1746" s="32">
        <v>45446</v>
      </c>
      <c r="V1746" s="33">
        <v>100</v>
      </c>
      <c r="W1746" s="28">
        <v>64.29</v>
      </c>
      <c r="X1746" s="34" t="s">
        <v>54</v>
      </c>
      <c r="Y1746" s="33">
        <v>64.29</v>
      </c>
      <c r="AC1746" s="28">
        <v>64.29</v>
      </c>
      <c r="AD1746" s="34" t="s">
        <v>54</v>
      </c>
      <c r="AE1746" s="33">
        <v>64.29</v>
      </c>
      <c r="AN1746" s="7" t="s">
        <v>54</v>
      </c>
      <c r="AO1746" s="7" t="s">
        <v>55</v>
      </c>
      <c r="AP1746" s="7" t="s">
        <v>56</v>
      </c>
      <c r="AT1746" s="47" t="s">
        <v>57</v>
      </c>
      <c r="AU1746" s="47" t="s">
        <v>57</v>
      </c>
    </row>
    <row r="1747" spans="1:47">
      <c r="A1747" s="4" t="s">
        <v>48</v>
      </c>
      <c r="C1747" s="21"/>
      <c r="D1747" s="22" t="s">
        <v>49</v>
      </c>
      <c r="G1747" s="23">
        <v>45089</v>
      </c>
      <c r="H1747" s="24" t="s">
        <v>5168</v>
      </c>
      <c r="J1747" s="28" t="s">
        <v>51</v>
      </c>
      <c r="L1747" s="24" t="s">
        <v>5169</v>
      </c>
      <c r="M1747" s="1" t="str">
        <f>"131082197402036281"</f>
        <v>131082197402036281</v>
      </c>
      <c r="N1747" s="24" t="s">
        <v>5169</v>
      </c>
      <c r="O1747" s="1" t="str">
        <f>"131082197402036281"</f>
        <v>131082197402036281</v>
      </c>
      <c r="P1747" s="23" t="s">
        <v>5170</v>
      </c>
      <c r="Q1747" s="23">
        <v>45090</v>
      </c>
      <c r="R1747" s="32">
        <v>45456</v>
      </c>
      <c r="V1747" s="33">
        <v>200</v>
      </c>
      <c r="W1747" s="28">
        <v>64.29</v>
      </c>
      <c r="X1747" s="34" t="s">
        <v>54</v>
      </c>
      <c r="Y1747" s="33">
        <v>128.58</v>
      </c>
      <c r="AC1747" s="28">
        <v>64.29</v>
      </c>
      <c r="AD1747" s="34" t="s">
        <v>54</v>
      </c>
      <c r="AE1747" s="33">
        <v>128.58</v>
      </c>
      <c r="AN1747" s="7" t="s">
        <v>54</v>
      </c>
      <c r="AO1747" s="7" t="s">
        <v>55</v>
      </c>
      <c r="AP1747" s="7" t="s">
        <v>56</v>
      </c>
      <c r="AT1747" s="47" t="s">
        <v>57</v>
      </c>
      <c r="AU1747" s="47" t="s">
        <v>57</v>
      </c>
    </row>
    <row r="1748" spans="1:47">
      <c r="A1748" s="4" t="s">
        <v>48</v>
      </c>
      <c r="C1748" s="21"/>
      <c r="D1748" s="22" t="s">
        <v>49</v>
      </c>
      <c r="G1748" s="23">
        <v>45089</v>
      </c>
      <c r="H1748" s="24" t="s">
        <v>5171</v>
      </c>
      <c r="J1748" s="28" t="s">
        <v>51</v>
      </c>
      <c r="L1748" s="24" t="s">
        <v>5172</v>
      </c>
      <c r="M1748" s="1" t="str">
        <f>"130624198408253829"</f>
        <v>130624198408253829</v>
      </c>
      <c r="N1748" s="24" t="s">
        <v>5172</v>
      </c>
      <c r="O1748" s="1" t="str">
        <f>"130624198408253829"</f>
        <v>130624198408253829</v>
      </c>
      <c r="P1748" s="23" t="s">
        <v>5173</v>
      </c>
      <c r="Q1748" s="23">
        <v>45090</v>
      </c>
      <c r="R1748" s="32">
        <v>45456</v>
      </c>
      <c r="V1748" s="33">
        <v>200</v>
      </c>
      <c r="W1748" s="28">
        <v>64.29</v>
      </c>
      <c r="X1748" s="34" t="s">
        <v>54</v>
      </c>
      <c r="Y1748" s="33">
        <v>128.58</v>
      </c>
      <c r="AC1748" s="28">
        <v>64.29</v>
      </c>
      <c r="AD1748" s="34" t="s">
        <v>54</v>
      </c>
      <c r="AE1748" s="33">
        <v>128.58</v>
      </c>
      <c r="AN1748" s="7" t="s">
        <v>54</v>
      </c>
      <c r="AO1748" s="7" t="s">
        <v>55</v>
      </c>
      <c r="AP1748" s="7" t="s">
        <v>56</v>
      </c>
      <c r="AT1748" s="47" t="s">
        <v>57</v>
      </c>
      <c r="AU1748" s="47" t="s">
        <v>57</v>
      </c>
    </row>
    <row r="1749" spans="1:47">
      <c r="A1749" s="4" t="s">
        <v>48</v>
      </c>
      <c r="C1749" s="21"/>
      <c r="D1749" s="22" t="s">
        <v>49</v>
      </c>
      <c r="G1749" s="23">
        <v>45089</v>
      </c>
      <c r="H1749" s="24" t="s">
        <v>5174</v>
      </c>
      <c r="J1749" s="28" t="s">
        <v>51</v>
      </c>
      <c r="L1749" s="24" t="s">
        <v>5175</v>
      </c>
      <c r="M1749" s="1" t="str">
        <f>"341204197009162282"</f>
        <v>341204197009162282</v>
      </c>
      <c r="N1749" s="24" t="s">
        <v>5175</v>
      </c>
      <c r="O1749" s="1" t="str">
        <f>"341204197009162282"</f>
        <v>341204197009162282</v>
      </c>
      <c r="P1749" s="23" t="s">
        <v>5176</v>
      </c>
      <c r="Q1749" s="23">
        <v>45090</v>
      </c>
      <c r="R1749" s="32">
        <v>45456</v>
      </c>
      <c r="V1749" s="33">
        <v>200</v>
      </c>
      <c r="W1749" s="28">
        <v>64.29</v>
      </c>
      <c r="X1749" s="34" t="s">
        <v>54</v>
      </c>
      <c r="Y1749" s="33">
        <v>128.58</v>
      </c>
      <c r="AC1749" s="28">
        <v>64.29</v>
      </c>
      <c r="AD1749" s="34" t="s">
        <v>54</v>
      </c>
      <c r="AE1749" s="33">
        <v>128.58</v>
      </c>
      <c r="AN1749" s="7" t="s">
        <v>54</v>
      </c>
      <c r="AO1749" s="7" t="s">
        <v>55</v>
      </c>
      <c r="AP1749" s="7" t="s">
        <v>56</v>
      </c>
      <c r="AT1749" s="47" t="s">
        <v>57</v>
      </c>
      <c r="AU1749" s="47" t="s">
        <v>57</v>
      </c>
    </row>
    <row r="1750" spans="1:47">
      <c r="A1750" s="4" t="s">
        <v>48</v>
      </c>
      <c r="C1750" s="21"/>
      <c r="D1750" s="22" t="s">
        <v>49</v>
      </c>
      <c r="G1750" s="23">
        <v>45089</v>
      </c>
      <c r="H1750" s="24" t="s">
        <v>5177</v>
      </c>
      <c r="J1750" s="28" t="s">
        <v>51</v>
      </c>
      <c r="L1750" s="24" t="s">
        <v>5178</v>
      </c>
      <c r="M1750" s="1" t="str">
        <f>"132825195708282416"</f>
        <v>132825195708282416</v>
      </c>
      <c r="N1750" s="24" t="s">
        <v>5178</v>
      </c>
      <c r="O1750" s="1" t="str">
        <f>"132825195708282416"</f>
        <v>132825195708282416</v>
      </c>
      <c r="P1750" s="23" t="s">
        <v>5179</v>
      </c>
      <c r="Q1750" s="23">
        <v>45090</v>
      </c>
      <c r="R1750" s="32">
        <v>45456</v>
      </c>
      <c r="V1750" s="33">
        <v>200</v>
      </c>
      <c r="W1750" s="28">
        <v>64.29</v>
      </c>
      <c r="X1750" s="34" t="s">
        <v>54</v>
      </c>
      <c r="Y1750" s="33">
        <v>128.58</v>
      </c>
      <c r="AC1750" s="28">
        <v>64.29</v>
      </c>
      <c r="AD1750" s="34" t="s">
        <v>54</v>
      </c>
      <c r="AE1750" s="33">
        <v>128.58</v>
      </c>
      <c r="AN1750" s="7" t="s">
        <v>54</v>
      </c>
      <c r="AO1750" s="7" t="s">
        <v>55</v>
      </c>
      <c r="AP1750" s="7" t="s">
        <v>56</v>
      </c>
      <c r="AT1750" s="47" t="s">
        <v>57</v>
      </c>
      <c r="AU1750" s="47" t="s">
        <v>57</v>
      </c>
    </row>
    <row r="1751" spans="1:47">
      <c r="A1751" s="4" t="s">
        <v>48</v>
      </c>
      <c r="C1751" s="21"/>
      <c r="D1751" s="22" t="s">
        <v>49</v>
      </c>
      <c r="G1751" s="23">
        <v>45072</v>
      </c>
      <c r="H1751" s="24" t="s">
        <v>5180</v>
      </c>
      <c r="J1751" s="28" t="s">
        <v>51</v>
      </c>
      <c r="L1751" s="24" t="s">
        <v>5181</v>
      </c>
      <c r="M1751" s="1" t="str">
        <f>"152801199202290946"</f>
        <v>152801199202290946</v>
      </c>
      <c r="N1751" s="24" t="s">
        <v>5181</v>
      </c>
      <c r="O1751" s="1" t="str">
        <f>"152801199202290946"</f>
        <v>152801199202290946</v>
      </c>
      <c r="P1751" s="23" t="s">
        <v>5182</v>
      </c>
      <c r="Q1751" s="23">
        <v>45073</v>
      </c>
      <c r="R1751" s="32">
        <v>45439</v>
      </c>
      <c r="V1751" s="33">
        <v>50</v>
      </c>
      <c r="W1751" s="28">
        <v>64.29</v>
      </c>
      <c r="X1751" s="34" t="s">
        <v>54</v>
      </c>
      <c r="Y1751" s="33">
        <v>32.15</v>
      </c>
      <c r="AC1751" s="28">
        <v>64.29</v>
      </c>
      <c r="AD1751" s="34" t="s">
        <v>54</v>
      </c>
      <c r="AE1751" s="33">
        <v>32.15</v>
      </c>
      <c r="AN1751" s="7" t="s">
        <v>54</v>
      </c>
      <c r="AO1751" s="7" t="s">
        <v>55</v>
      </c>
      <c r="AP1751" s="7" t="s">
        <v>56</v>
      </c>
      <c r="AT1751" s="47" t="s">
        <v>57</v>
      </c>
      <c r="AU1751" s="47" t="s">
        <v>57</v>
      </c>
    </row>
    <row r="1752" spans="1:47">
      <c r="A1752" s="4" t="s">
        <v>48</v>
      </c>
      <c r="C1752" s="21"/>
      <c r="D1752" s="22" t="s">
        <v>49</v>
      </c>
      <c r="G1752" s="23">
        <v>45072</v>
      </c>
      <c r="H1752" s="24" t="s">
        <v>5183</v>
      </c>
      <c r="J1752" s="28" t="s">
        <v>51</v>
      </c>
      <c r="L1752" s="24" t="s">
        <v>5184</v>
      </c>
      <c r="M1752" s="1" t="str">
        <f>"120222199208244213"</f>
        <v>120222199208244213</v>
      </c>
      <c r="N1752" s="24" t="s">
        <v>5184</v>
      </c>
      <c r="O1752" s="1" t="str">
        <f>"120222199208244213"</f>
        <v>120222199208244213</v>
      </c>
      <c r="P1752" s="23" t="s">
        <v>5185</v>
      </c>
      <c r="Q1752" s="23">
        <v>45073</v>
      </c>
      <c r="R1752" s="32">
        <v>45439</v>
      </c>
      <c r="V1752" s="33">
        <v>50</v>
      </c>
      <c r="W1752" s="28">
        <v>64.29</v>
      </c>
      <c r="X1752" s="34" t="s">
        <v>54</v>
      </c>
      <c r="Y1752" s="33">
        <v>32.15</v>
      </c>
      <c r="AC1752" s="28">
        <v>64.29</v>
      </c>
      <c r="AD1752" s="34" t="s">
        <v>54</v>
      </c>
      <c r="AE1752" s="33">
        <v>32.15</v>
      </c>
      <c r="AN1752" s="7" t="s">
        <v>54</v>
      </c>
      <c r="AO1752" s="7" t="s">
        <v>55</v>
      </c>
      <c r="AP1752" s="7" t="s">
        <v>56</v>
      </c>
      <c r="AT1752" s="47" t="s">
        <v>57</v>
      </c>
      <c r="AU1752" s="47" t="s">
        <v>57</v>
      </c>
    </row>
    <row r="1753" spans="1:47">
      <c r="A1753" s="4" t="s">
        <v>48</v>
      </c>
      <c r="C1753" s="21"/>
      <c r="D1753" s="22" t="s">
        <v>49</v>
      </c>
      <c r="G1753" s="23">
        <v>45072</v>
      </c>
      <c r="H1753" s="24" t="s">
        <v>5186</v>
      </c>
      <c r="J1753" s="28" t="s">
        <v>51</v>
      </c>
      <c r="L1753" s="24" t="s">
        <v>5187</v>
      </c>
      <c r="M1753" s="1" t="str">
        <f>"130324198310113047"</f>
        <v>130324198310113047</v>
      </c>
      <c r="N1753" s="24" t="s">
        <v>5187</v>
      </c>
      <c r="O1753" s="1" t="str">
        <f>"130324198310113047"</f>
        <v>130324198310113047</v>
      </c>
      <c r="P1753" s="23" t="s">
        <v>5188</v>
      </c>
      <c r="Q1753" s="23">
        <v>45073</v>
      </c>
      <c r="R1753" s="32">
        <v>45439</v>
      </c>
      <c r="V1753" s="33">
        <v>50</v>
      </c>
      <c r="W1753" s="28">
        <v>64.29</v>
      </c>
      <c r="X1753" s="34" t="s">
        <v>54</v>
      </c>
      <c r="Y1753" s="33">
        <v>32.15</v>
      </c>
      <c r="AC1753" s="28">
        <v>64.29</v>
      </c>
      <c r="AD1753" s="34" t="s">
        <v>54</v>
      </c>
      <c r="AE1753" s="33">
        <v>32.15</v>
      </c>
      <c r="AN1753" s="7" t="s">
        <v>54</v>
      </c>
      <c r="AO1753" s="7" t="s">
        <v>55</v>
      </c>
      <c r="AP1753" s="7" t="s">
        <v>56</v>
      </c>
      <c r="AT1753" s="47" t="s">
        <v>57</v>
      </c>
      <c r="AU1753" s="47" t="s">
        <v>57</v>
      </c>
    </row>
    <row r="1754" spans="1:47">
      <c r="A1754" s="4" t="s">
        <v>48</v>
      </c>
      <c r="C1754" s="21"/>
      <c r="D1754" s="22" t="s">
        <v>49</v>
      </c>
      <c r="G1754" s="23">
        <v>45102</v>
      </c>
      <c r="H1754" s="24" t="s">
        <v>5189</v>
      </c>
      <c r="J1754" s="28" t="s">
        <v>51</v>
      </c>
      <c r="L1754" s="24" t="s">
        <v>5190</v>
      </c>
      <c r="M1754" s="1" t="str">
        <f>"131023198812012615"</f>
        <v>131023198812012615</v>
      </c>
      <c r="N1754" s="24" t="s">
        <v>5190</v>
      </c>
      <c r="O1754" s="1" t="str">
        <f>"131023198812012615"</f>
        <v>131023198812012615</v>
      </c>
      <c r="P1754" s="23" t="s">
        <v>5191</v>
      </c>
      <c r="Q1754" s="23">
        <v>45103</v>
      </c>
      <c r="R1754" s="32">
        <v>45469</v>
      </c>
      <c r="V1754" s="33">
        <v>100</v>
      </c>
      <c r="W1754" s="28">
        <v>64.29</v>
      </c>
      <c r="X1754" s="34" t="s">
        <v>54</v>
      </c>
      <c r="Y1754" s="33">
        <v>64.29</v>
      </c>
      <c r="AC1754" s="28">
        <v>64.29</v>
      </c>
      <c r="AD1754" s="34" t="s">
        <v>54</v>
      </c>
      <c r="AE1754" s="33">
        <v>64.29</v>
      </c>
      <c r="AN1754" s="7" t="s">
        <v>54</v>
      </c>
      <c r="AO1754" s="7" t="s">
        <v>55</v>
      </c>
      <c r="AP1754" s="7" t="s">
        <v>56</v>
      </c>
      <c r="AT1754" s="47" t="s">
        <v>57</v>
      </c>
      <c r="AU1754" s="47" t="s">
        <v>57</v>
      </c>
    </row>
    <row r="1755" spans="1:47">
      <c r="A1755" s="4" t="s">
        <v>48</v>
      </c>
      <c r="C1755" s="21"/>
      <c r="D1755" s="22" t="s">
        <v>49</v>
      </c>
      <c r="G1755" s="23">
        <v>45102</v>
      </c>
      <c r="H1755" s="24" t="s">
        <v>5192</v>
      </c>
      <c r="J1755" s="28" t="s">
        <v>51</v>
      </c>
      <c r="L1755" s="24" t="s">
        <v>5193</v>
      </c>
      <c r="M1755" s="1" t="str">
        <f>"131082198810295834"</f>
        <v>131082198810295834</v>
      </c>
      <c r="N1755" s="24" t="s">
        <v>5193</v>
      </c>
      <c r="O1755" s="1" t="str">
        <f>"131082198810295834"</f>
        <v>131082198810295834</v>
      </c>
      <c r="P1755" s="23" t="s">
        <v>5194</v>
      </c>
      <c r="Q1755" s="23">
        <v>45103</v>
      </c>
      <c r="R1755" s="32">
        <v>45469</v>
      </c>
      <c r="V1755" s="33">
        <v>100</v>
      </c>
      <c r="W1755" s="28">
        <v>64.29</v>
      </c>
      <c r="X1755" s="34" t="s">
        <v>54</v>
      </c>
      <c r="Y1755" s="33">
        <v>64.29</v>
      </c>
      <c r="AC1755" s="28">
        <v>64.29</v>
      </c>
      <c r="AD1755" s="34" t="s">
        <v>54</v>
      </c>
      <c r="AE1755" s="33">
        <v>64.29</v>
      </c>
      <c r="AN1755" s="7" t="s">
        <v>54</v>
      </c>
      <c r="AO1755" s="7" t="s">
        <v>55</v>
      </c>
      <c r="AP1755" s="7" t="s">
        <v>56</v>
      </c>
      <c r="AT1755" s="47" t="s">
        <v>57</v>
      </c>
      <c r="AU1755" s="47" t="s">
        <v>57</v>
      </c>
    </row>
    <row r="1756" spans="1:47">
      <c r="A1756" s="4" t="s">
        <v>48</v>
      </c>
      <c r="C1756" s="21"/>
      <c r="D1756" s="22" t="s">
        <v>49</v>
      </c>
      <c r="G1756" s="23">
        <v>45102</v>
      </c>
      <c r="H1756" s="24" t="s">
        <v>5195</v>
      </c>
      <c r="J1756" s="28" t="s">
        <v>51</v>
      </c>
      <c r="L1756" s="24" t="s">
        <v>5196</v>
      </c>
      <c r="M1756" s="1" t="str">
        <f>"131082195109121023"</f>
        <v>131082195109121023</v>
      </c>
      <c r="N1756" s="24" t="s">
        <v>5196</v>
      </c>
      <c r="O1756" s="1" t="str">
        <f>"131082195109121023"</f>
        <v>131082195109121023</v>
      </c>
      <c r="P1756" s="23" t="s">
        <v>5197</v>
      </c>
      <c r="Q1756" s="23">
        <v>45229</v>
      </c>
      <c r="R1756" s="32">
        <v>45595</v>
      </c>
      <c r="V1756" s="33">
        <v>100</v>
      </c>
      <c r="W1756" s="28">
        <v>64.29</v>
      </c>
      <c r="X1756" s="34" t="s">
        <v>54</v>
      </c>
      <c r="Y1756" s="33">
        <v>64.29</v>
      </c>
      <c r="AC1756" s="28">
        <v>64.29</v>
      </c>
      <c r="AD1756" s="34" t="s">
        <v>54</v>
      </c>
      <c r="AE1756" s="33">
        <v>64.29</v>
      </c>
      <c r="AN1756" s="7" t="s">
        <v>54</v>
      </c>
      <c r="AO1756" s="7" t="s">
        <v>55</v>
      </c>
      <c r="AP1756" s="7" t="s">
        <v>56</v>
      </c>
      <c r="AT1756" s="47" t="s">
        <v>57</v>
      </c>
      <c r="AU1756" s="47" t="s">
        <v>57</v>
      </c>
    </row>
    <row r="1757" spans="1:47">
      <c r="A1757" s="4" t="s">
        <v>48</v>
      </c>
      <c r="C1757" s="21"/>
      <c r="D1757" s="22" t="s">
        <v>49</v>
      </c>
      <c r="G1757" s="23">
        <v>45092</v>
      </c>
      <c r="H1757" s="24" t="s">
        <v>5198</v>
      </c>
      <c r="J1757" s="28" t="s">
        <v>51</v>
      </c>
      <c r="L1757" s="24" t="s">
        <v>2229</v>
      </c>
      <c r="M1757" s="1" t="str">
        <f>"232301196509181313"</f>
        <v>232301196509181313</v>
      </c>
      <c r="N1757" s="24" t="s">
        <v>2229</v>
      </c>
      <c r="O1757" s="1" t="str">
        <f>"232301196509181313"</f>
        <v>232301196509181313</v>
      </c>
      <c r="P1757" s="23" t="s">
        <v>5199</v>
      </c>
      <c r="Q1757" s="23">
        <v>45093</v>
      </c>
      <c r="R1757" s="32">
        <v>45459</v>
      </c>
      <c r="V1757" s="33">
        <v>100</v>
      </c>
      <c r="W1757" s="28">
        <v>64.29</v>
      </c>
      <c r="X1757" s="34" t="s">
        <v>54</v>
      </c>
      <c r="Y1757" s="33">
        <v>64.29</v>
      </c>
      <c r="AC1757" s="28">
        <v>64.29</v>
      </c>
      <c r="AD1757" s="34" t="s">
        <v>54</v>
      </c>
      <c r="AE1757" s="33">
        <v>64.29</v>
      </c>
      <c r="AN1757" s="7" t="s">
        <v>54</v>
      </c>
      <c r="AO1757" s="7" t="s">
        <v>55</v>
      </c>
      <c r="AP1757" s="7" t="s">
        <v>56</v>
      </c>
      <c r="AT1757" s="47" t="s">
        <v>57</v>
      </c>
      <c r="AU1757" s="47" t="s">
        <v>57</v>
      </c>
    </row>
    <row r="1758" spans="1:47">
      <c r="A1758" s="4" t="s">
        <v>48</v>
      </c>
      <c r="C1758" s="21"/>
      <c r="D1758" s="22" t="s">
        <v>49</v>
      </c>
      <c r="G1758" s="23">
        <v>45092</v>
      </c>
      <c r="H1758" s="24" t="s">
        <v>5200</v>
      </c>
      <c r="J1758" s="28" t="s">
        <v>51</v>
      </c>
      <c r="L1758" s="24" t="s">
        <v>5201</v>
      </c>
      <c r="M1758" s="1" t="str">
        <f>"120222198501100628"</f>
        <v>120222198501100628</v>
      </c>
      <c r="N1758" s="24" t="s">
        <v>5201</v>
      </c>
      <c r="O1758" s="1" t="str">
        <f>"120222198501100628"</f>
        <v>120222198501100628</v>
      </c>
      <c r="P1758" s="23" t="s">
        <v>5202</v>
      </c>
      <c r="Q1758" s="23">
        <v>45155</v>
      </c>
      <c r="R1758" s="32">
        <v>45521</v>
      </c>
      <c r="V1758" s="33">
        <v>100</v>
      </c>
      <c r="W1758" s="28">
        <v>64.29</v>
      </c>
      <c r="X1758" s="34" t="s">
        <v>54</v>
      </c>
      <c r="Y1758" s="33">
        <v>64.29</v>
      </c>
      <c r="AC1758" s="28">
        <v>64.29</v>
      </c>
      <c r="AD1758" s="34" t="s">
        <v>54</v>
      </c>
      <c r="AE1758" s="33">
        <v>64.29</v>
      </c>
      <c r="AN1758" s="7" t="s">
        <v>54</v>
      </c>
      <c r="AO1758" s="7" t="s">
        <v>55</v>
      </c>
      <c r="AP1758" s="7" t="s">
        <v>56</v>
      </c>
      <c r="AT1758" s="47" t="s">
        <v>57</v>
      </c>
      <c r="AU1758" s="47" t="s">
        <v>57</v>
      </c>
    </row>
    <row r="1759" spans="1:47">
      <c r="A1759" s="4" t="s">
        <v>48</v>
      </c>
      <c r="C1759" s="21"/>
      <c r="D1759" s="22" t="s">
        <v>49</v>
      </c>
      <c r="G1759" s="23">
        <v>45092</v>
      </c>
      <c r="H1759" s="24" t="s">
        <v>5203</v>
      </c>
      <c r="J1759" s="28" t="s">
        <v>51</v>
      </c>
      <c r="L1759" s="24" t="s">
        <v>5204</v>
      </c>
      <c r="M1759" s="1" t="str">
        <f>"342422198809110033"</f>
        <v>342422198809110033</v>
      </c>
      <c r="N1759" s="24" t="s">
        <v>5204</v>
      </c>
      <c r="O1759" s="1" t="str">
        <f>"342422198809110033"</f>
        <v>342422198809110033</v>
      </c>
      <c r="P1759" s="23" t="s">
        <v>5205</v>
      </c>
      <c r="Q1759" s="23">
        <v>45107</v>
      </c>
      <c r="R1759" s="32">
        <v>45473</v>
      </c>
      <c r="V1759" s="33">
        <v>100</v>
      </c>
      <c r="W1759" s="28">
        <v>64.29</v>
      </c>
      <c r="X1759" s="34" t="s">
        <v>54</v>
      </c>
      <c r="Y1759" s="33">
        <v>64.29</v>
      </c>
      <c r="AC1759" s="28">
        <v>64.29</v>
      </c>
      <c r="AD1759" s="34" t="s">
        <v>54</v>
      </c>
      <c r="AE1759" s="33">
        <v>64.29</v>
      </c>
      <c r="AN1759" s="7" t="s">
        <v>54</v>
      </c>
      <c r="AO1759" s="7" t="s">
        <v>55</v>
      </c>
      <c r="AP1759" s="7" t="s">
        <v>56</v>
      </c>
      <c r="AT1759" s="47" t="s">
        <v>57</v>
      </c>
      <c r="AU1759" s="47" t="s">
        <v>57</v>
      </c>
    </row>
    <row r="1760" spans="1:47">
      <c r="A1760" s="4" t="s">
        <v>48</v>
      </c>
      <c r="C1760" s="21"/>
      <c r="D1760" s="22" t="s">
        <v>49</v>
      </c>
      <c r="G1760" s="23">
        <v>45091</v>
      </c>
      <c r="H1760" s="24" t="s">
        <v>5206</v>
      </c>
      <c r="J1760" s="28" t="s">
        <v>51</v>
      </c>
      <c r="L1760" s="24" t="s">
        <v>5207</v>
      </c>
      <c r="M1760" s="1" t="str">
        <f>"341221198705100449"</f>
        <v>341221198705100449</v>
      </c>
      <c r="N1760" s="24" t="s">
        <v>5207</v>
      </c>
      <c r="O1760" s="1" t="str">
        <f>"341221198705100449"</f>
        <v>341221198705100449</v>
      </c>
      <c r="P1760" s="23" t="s">
        <v>5208</v>
      </c>
      <c r="Q1760" s="23">
        <v>45185</v>
      </c>
      <c r="R1760" s="32">
        <v>45551</v>
      </c>
      <c r="V1760" s="33">
        <v>100</v>
      </c>
      <c r="W1760" s="28">
        <v>64.29</v>
      </c>
      <c r="X1760" s="34" t="s">
        <v>54</v>
      </c>
      <c r="Y1760" s="33">
        <v>64.29</v>
      </c>
      <c r="AC1760" s="28">
        <v>64.29</v>
      </c>
      <c r="AD1760" s="34" t="s">
        <v>54</v>
      </c>
      <c r="AE1760" s="33">
        <v>64.29</v>
      </c>
      <c r="AN1760" s="7" t="s">
        <v>54</v>
      </c>
      <c r="AO1760" s="7" t="s">
        <v>55</v>
      </c>
      <c r="AP1760" s="7" t="s">
        <v>56</v>
      </c>
      <c r="AT1760" s="47" t="s">
        <v>57</v>
      </c>
      <c r="AU1760" s="47" t="s">
        <v>57</v>
      </c>
    </row>
    <row r="1761" spans="1:47">
      <c r="A1761" s="4" t="s">
        <v>48</v>
      </c>
      <c r="C1761" s="21"/>
      <c r="D1761" s="22" t="s">
        <v>49</v>
      </c>
      <c r="G1761" s="23">
        <v>45091</v>
      </c>
      <c r="H1761" s="24" t="s">
        <v>5209</v>
      </c>
      <c r="J1761" s="28" t="s">
        <v>51</v>
      </c>
      <c r="L1761" s="24" t="s">
        <v>5210</v>
      </c>
      <c r="M1761" s="1" t="str">
        <f>"341221198404040411"</f>
        <v>341221198404040411</v>
      </c>
      <c r="N1761" s="24" t="s">
        <v>5210</v>
      </c>
      <c r="O1761" s="1" t="str">
        <f>"341221198404040411"</f>
        <v>341221198404040411</v>
      </c>
      <c r="P1761" s="23" t="s">
        <v>5211</v>
      </c>
      <c r="Q1761" s="23">
        <v>45092</v>
      </c>
      <c r="R1761" s="32">
        <v>45458</v>
      </c>
      <c r="V1761" s="33">
        <v>100</v>
      </c>
      <c r="W1761" s="28">
        <v>64.29</v>
      </c>
      <c r="X1761" s="34" t="s">
        <v>54</v>
      </c>
      <c r="Y1761" s="33">
        <v>64.29</v>
      </c>
      <c r="AC1761" s="28">
        <v>64.29</v>
      </c>
      <c r="AD1761" s="34" t="s">
        <v>54</v>
      </c>
      <c r="AE1761" s="33">
        <v>64.29</v>
      </c>
      <c r="AN1761" s="7" t="s">
        <v>54</v>
      </c>
      <c r="AO1761" s="7" t="s">
        <v>55</v>
      </c>
      <c r="AP1761" s="7" t="s">
        <v>56</v>
      </c>
      <c r="AT1761" s="47" t="s">
        <v>57</v>
      </c>
      <c r="AU1761" s="47" t="s">
        <v>57</v>
      </c>
    </row>
    <row r="1762" spans="1:47">
      <c r="A1762" s="4" t="s">
        <v>48</v>
      </c>
      <c r="C1762" s="21"/>
      <c r="D1762" s="22" t="s">
        <v>49</v>
      </c>
      <c r="G1762" s="23">
        <v>45091</v>
      </c>
      <c r="H1762" s="24" t="s">
        <v>5212</v>
      </c>
      <c r="J1762" s="28" t="s">
        <v>51</v>
      </c>
      <c r="L1762" s="24" t="s">
        <v>5213</v>
      </c>
      <c r="M1762" s="1" t="str">
        <f>"132821197005300511"</f>
        <v>132821197005300511</v>
      </c>
      <c r="N1762" s="24" t="s">
        <v>5213</v>
      </c>
      <c r="O1762" s="1" t="str">
        <f>"132821197005300511"</f>
        <v>132821197005300511</v>
      </c>
      <c r="P1762" s="23" t="s">
        <v>5214</v>
      </c>
      <c r="Q1762" s="23">
        <v>45291</v>
      </c>
      <c r="R1762" s="32">
        <v>45657</v>
      </c>
      <c r="V1762" s="33">
        <v>100</v>
      </c>
      <c r="W1762" s="28">
        <v>64.29</v>
      </c>
      <c r="X1762" s="34" t="s">
        <v>54</v>
      </c>
      <c r="Y1762" s="33">
        <v>64.29</v>
      </c>
      <c r="AC1762" s="28">
        <v>64.29</v>
      </c>
      <c r="AD1762" s="34" t="s">
        <v>54</v>
      </c>
      <c r="AE1762" s="33">
        <v>64.29</v>
      </c>
      <c r="AN1762" s="7" t="s">
        <v>54</v>
      </c>
      <c r="AO1762" s="7" t="s">
        <v>55</v>
      </c>
      <c r="AP1762" s="7" t="s">
        <v>56</v>
      </c>
      <c r="AT1762" s="47" t="s">
        <v>57</v>
      </c>
      <c r="AU1762" s="47" t="s">
        <v>57</v>
      </c>
    </row>
    <row r="1763" spans="1:47">
      <c r="A1763" s="4" t="s">
        <v>48</v>
      </c>
      <c r="C1763" s="21"/>
      <c r="D1763" s="22" t="s">
        <v>49</v>
      </c>
      <c r="G1763" s="23">
        <v>45091</v>
      </c>
      <c r="H1763" s="24" t="s">
        <v>5215</v>
      </c>
      <c r="J1763" s="28" t="s">
        <v>51</v>
      </c>
      <c r="L1763" s="24" t="s">
        <v>3041</v>
      </c>
      <c r="M1763" s="1" t="str">
        <f>"132821195009270517"</f>
        <v>132821195009270517</v>
      </c>
      <c r="N1763" s="24" t="s">
        <v>3041</v>
      </c>
      <c r="O1763" s="1" t="str">
        <f>"132821195009270517"</f>
        <v>132821195009270517</v>
      </c>
      <c r="P1763" s="23" t="s">
        <v>5216</v>
      </c>
      <c r="Q1763" s="23">
        <v>45092</v>
      </c>
      <c r="R1763" s="32">
        <v>45458</v>
      </c>
      <c r="V1763" s="33">
        <v>100</v>
      </c>
      <c r="W1763" s="28">
        <v>64.29</v>
      </c>
      <c r="X1763" s="34" t="s">
        <v>54</v>
      </c>
      <c r="Y1763" s="33">
        <v>64.29</v>
      </c>
      <c r="AC1763" s="28">
        <v>64.29</v>
      </c>
      <c r="AD1763" s="34" t="s">
        <v>54</v>
      </c>
      <c r="AE1763" s="33">
        <v>64.29</v>
      </c>
      <c r="AN1763" s="7" t="s">
        <v>54</v>
      </c>
      <c r="AO1763" s="7" t="s">
        <v>55</v>
      </c>
      <c r="AP1763" s="7" t="s">
        <v>56</v>
      </c>
      <c r="AT1763" s="47" t="s">
        <v>57</v>
      </c>
      <c r="AU1763" s="47" t="s">
        <v>57</v>
      </c>
    </row>
    <row r="1764" spans="1:47">
      <c r="A1764" s="4" t="s">
        <v>48</v>
      </c>
      <c r="C1764" s="21"/>
      <c r="D1764" s="22" t="s">
        <v>49</v>
      </c>
      <c r="G1764" s="23">
        <v>45087</v>
      </c>
      <c r="H1764" s="24" t="s">
        <v>5217</v>
      </c>
      <c r="J1764" s="28" t="s">
        <v>51</v>
      </c>
      <c r="L1764" s="24" t="s">
        <v>5218</v>
      </c>
      <c r="M1764" s="1" t="str">
        <f>"341204198106201428"</f>
        <v>341204198106201428</v>
      </c>
      <c r="N1764" s="24" t="s">
        <v>5218</v>
      </c>
      <c r="O1764" s="1" t="str">
        <f>"341204198106201428"</f>
        <v>341204198106201428</v>
      </c>
      <c r="P1764" s="23" t="s">
        <v>5219</v>
      </c>
      <c r="Q1764" s="23">
        <v>45088</v>
      </c>
      <c r="R1764" s="32">
        <v>45454</v>
      </c>
      <c r="V1764" s="33">
        <v>200</v>
      </c>
      <c r="W1764" s="28">
        <v>64.29</v>
      </c>
      <c r="X1764" s="34" t="s">
        <v>54</v>
      </c>
      <c r="Y1764" s="33">
        <v>128.58</v>
      </c>
      <c r="AC1764" s="28">
        <v>64.29</v>
      </c>
      <c r="AD1764" s="34" t="s">
        <v>54</v>
      </c>
      <c r="AE1764" s="33">
        <v>128.58</v>
      </c>
      <c r="AN1764" s="7" t="s">
        <v>54</v>
      </c>
      <c r="AO1764" s="7" t="s">
        <v>55</v>
      </c>
      <c r="AP1764" s="7" t="s">
        <v>56</v>
      </c>
      <c r="AT1764" s="47" t="s">
        <v>57</v>
      </c>
      <c r="AU1764" s="47" t="s">
        <v>57</v>
      </c>
    </row>
    <row r="1765" spans="1:47">
      <c r="A1765" s="4" t="s">
        <v>48</v>
      </c>
      <c r="C1765" s="21"/>
      <c r="D1765" s="22" t="s">
        <v>49</v>
      </c>
      <c r="G1765" s="23">
        <v>45087</v>
      </c>
      <c r="H1765" s="24" t="s">
        <v>5220</v>
      </c>
      <c r="J1765" s="28" t="s">
        <v>51</v>
      </c>
      <c r="L1765" s="24" t="s">
        <v>5221</v>
      </c>
      <c r="M1765" s="1" t="str">
        <f>"452123199104101380"</f>
        <v>452123199104101380</v>
      </c>
      <c r="N1765" s="24" t="s">
        <v>5221</v>
      </c>
      <c r="O1765" s="1" t="str">
        <f>"452123199104101380"</f>
        <v>452123199104101380</v>
      </c>
      <c r="P1765" s="23" t="s">
        <v>5222</v>
      </c>
      <c r="Q1765" s="23">
        <v>45088</v>
      </c>
      <c r="R1765" s="32">
        <v>45454</v>
      </c>
      <c r="V1765" s="33">
        <v>200</v>
      </c>
      <c r="W1765" s="28">
        <v>64.29</v>
      </c>
      <c r="X1765" s="34" t="s">
        <v>54</v>
      </c>
      <c r="Y1765" s="33">
        <v>128.58</v>
      </c>
      <c r="AC1765" s="28">
        <v>64.29</v>
      </c>
      <c r="AD1765" s="34" t="s">
        <v>54</v>
      </c>
      <c r="AE1765" s="33">
        <v>128.58</v>
      </c>
      <c r="AN1765" s="7" t="s">
        <v>54</v>
      </c>
      <c r="AO1765" s="7" t="s">
        <v>55</v>
      </c>
      <c r="AP1765" s="7" t="s">
        <v>56</v>
      </c>
      <c r="AT1765" s="47" t="s">
        <v>57</v>
      </c>
      <c r="AU1765" s="47" t="s">
        <v>57</v>
      </c>
    </row>
    <row r="1766" spans="1:47">
      <c r="A1766" s="4" t="s">
        <v>48</v>
      </c>
      <c r="C1766" s="21"/>
      <c r="D1766" s="22" t="s">
        <v>49</v>
      </c>
      <c r="G1766" s="23">
        <v>45085</v>
      </c>
      <c r="H1766" s="24" t="s">
        <v>5223</v>
      </c>
      <c r="J1766" s="28" t="s">
        <v>51</v>
      </c>
      <c r="L1766" s="24" t="s">
        <v>5224</v>
      </c>
      <c r="M1766" s="1" t="str">
        <f>"34120219850604211X"</f>
        <v>34120219850604211X</v>
      </c>
      <c r="N1766" s="24" t="s">
        <v>5224</v>
      </c>
      <c r="O1766" s="1" t="str">
        <f>"34120219850604211X"</f>
        <v>34120219850604211X</v>
      </c>
      <c r="P1766" s="23" t="s">
        <v>5225</v>
      </c>
      <c r="Q1766" s="23">
        <v>45086</v>
      </c>
      <c r="R1766" s="32">
        <v>45452</v>
      </c>
      <c r="V1766" s="33">
        <v>200</v>
      </c>
      <c r="W1766" s="28">
        <v>64.29</v>
      </c>
      <c r="X1766" s="34" t="s">
        <v>54</v>
      </c>
      <c r="Y1766" s="33">
        <v>128.58</v>
      </c>
      <c r="AC1766" s="28">
        <v>64.29</v>
      </c>
      <c r="AD1766" s="34" t="s">
        <v>54</v>
      </c>
      <c r="AE1766" s="33">
        <v>128.58</v>
      </c>
      <c r="AN1766" s="7" t="s">
        <v>54</v>
      </c>
      <c r="AO1766" s="7" t="s">
        <v>55</v>
      </c>
      <c r="AP1766" s="7" t="s">
        <v>56</v>
      </c>
      <c r="AT1766" s="47" t="s">
        <v>57</v>
      </c>
      <c r="AU1766" s="47" t="s">
        <v>57</v>
      </c>
    </row>
    <row r="1767" spans="1:47">
      <c r="A1767" s="4" t="s">
        <v>48</v>
      </c>
      <c r="C1767" s="21"/>
      <c r="D1767" s="22" t="s">
        <v>49</v>
      </c>
      <c r="G1767" s="23">
        <v>45102</v>
      </c>
      <c r="H1767" s="24" t="s">
        <v>5226</v>
      </c>
      <c r="J1767" s="28" t="s">
        <v>51</v>
      </c>
      <c r="L1767" s="24" t="s">
        <v>5227</v>
      </c>
      <c r="M1767" s="1" t="str">
        <f>"341204198605022459"</f>
        <v>341204198605022459</v>
      </c>
      <c r="N1767" s="24" t="s">
        <v>5227</v>
      </c>
      <c r="O1767" s="1" t="str">
        <f>"341204198605022459"</f>
        <v>341204198605022459</v>
      </c>
      <c r="P1767" s="23" t="s">
        <v>5228</v>
      </c>
      <c r="Q1767" s="23">
        <v>45103</v>
      </c>
      <c r="R1767" s="32">
        <v>45469</v>
      </c>
      <c r="V1767" s="33">
        <v>100</v>
      </c>
      <c r="W1767" s="28">
        <v>64.29</v>
      </c>
      <c r="X1767" s="34" t="s">
        <v>54</v>
      </c>
      <c r="Y1767" s="33">
        <v>64.29</v>
      </c>
      <c r="AC1767" s="28">
        <v>64.29</v>
      </c>
      <c r="AD1767" s="34" t="s">
        <v>54</v>
      </c>
      <c r="AE1767" s="33">
        <v>64.29</v>
      </c>
      <c r="AN1767" s="7" t="s">
        <v>54</v>
      </c>
      <c r="AO1767" s="7" t="s">
        <v>55</v>
      </c>
      <c r="AP1767" s="7" t="s">
        <v>56</v>
      </c>
      <c r="AT1767" s="47" t="s">
        <v>57</v>
      </c>
      <c r="AU1767" s="47" t="s">
        <v>57</v>
      </c>
    </row>
    <row r="1768" spans="1:47">
      <c r="A1768" s="4" t="s">
        <v>48</v>
      </c>
      <c r="C1768" s="21"/>
      <c r="D1768" s="22" t="s">
        <v>49</v>
      </c>
      <c r="G1768" s="23">
        <v>45102</v>
      </c>
      <c r="H1768" s="24" t="s">
        <v>5229</v>
      </c>
      <c r="J1768" s="28" t="s">
        <v>51</v>
      </c>
      <c r="L1768" s="24" t="s">
        <v>5230</v>
      </c>
      <c r="M1768" s="1" t="str">
        <f>"131082199606272912"</f>
        <v>131082199606272912</v>
      </c>
      <c r="N1768" s="24" t="s">
        <v>5230</v>
      </c>
      <c r="O1768" s="1" t="str">
        <f>"131082199606272912"</f>
        <v>131082199606272912</v>
      </c>
      <c r="P1768" s="23" t="s">
        <v>5231</v>
      </c>
      <c r="Q1768" s="23">
        <v>45103</v>
      </c>
      <c r="R1768" s="32">
        <v>45469</v>
      </c>
      <c r="V1768" s="33">
        <v>100</v>
      </c>
      <c r="W1768" s="28">
        <v>64.29</v>
      </c>
      <c r="X1768" s="34" t="s">
        <v>54</v>
      </c>
      <c r="Y1768" s="33">
        <v>64.29</v>
      </c>
      <c r="AC1768" s="28">
        <v>64.29</v>
      </c>
      <c r="AD1768" s="34" t="s">
        <v>54</v>
      </c>
      <c r="AE1768" s="33">
        <v>64.29</v>
      </c>
      <c r="AN1768" s="7" t="s">
        <v>54</v>
      </c>
      <c r="AO1768" s="7" t="s">
        <v>55</v>
      </c>
      <c r="AP1768" s="7" t="s">
        <v>56</v>
      </c>
      <c r="AT1768" s="47" t="s">
        <v>57</v>
      </c>
      <c r="AU1768" s="47" t="s">
        <v>57</v>
      </c>
    </row>
    <row r="1769" spans="1:47">
      <c r="A1769" s="4" t="s">
        <v>48</v>
      </c>
      <c r="C1769" s="21"/>
      <c r="D1769" s="22" t="s">
        <v>49</v>
      </c>
      <c r="G1769" s="23">
        <v>45102</v>
      </c>
      <c r="H1769" s="24" t="s">
        <v>5232</v>
      </c>
      <c r="J1769" s="28" t="s">
        <v>51</v>
      </c>
      <c r="L1769" s="24" t="s">
        <v>3275</v>
      </c>
      <c r="M1769" s="1" t="str">
        <f>"132821196403170287"</f>
        <v>132821196403170287</v>
      </c>
      <c r="N1769" s="24" t="s">
        <v>3275</v>
      </c>
      <c r="O1769" s="1" t="str">
        <f>"132821196403170287"</f>
        <v>132821196403170287</v>
      </c>
      <c r="P1769" s="23" t="s">
        <v>5233</v>
      </c>
      <c r="Q1769" s="23">
        <v>45200</v>
      </c>
      <c r="R1769" s="32">
        <v>45566</v>
      </c>
      <c r="V1769" s="33">
        <v>100</v>
      </c>
      <c r="W1769" s="28">
        <v>64.29</v>
      </c>
      <c r="X1769" s="34" t="s">
        <v>54</v>
      </c>
      <c r="Y1769" s="33">
        <v>64.29</v>
      </c>
      <c r="AC1769" s="28">
        <v>64.29</v>
      </c>
      <c r="AD1769" s="34" t="s">
        <v>54</v>
      </c>
      <c r="AE1769" s="33">
        <v>64.29</v>
      </c>
      <c r="AN1769" s="7" t="s">
        <v>54</v>
      </c>
      <c r="AO1769" s="7" t="s">
        <v>55</v>
      </c>
      <c r="AP1769" s="7" t="s">
        <v>56</v>
      </c>
      <c r="AT1769" s="47" t="s">
        <v>57</v>
      </c>
      <c r="AU1769" s="47" t="s">
        <v>57</v>
      </c>
    </row>
    <row r="1770" spans="1:47">
      <c r="A1770" s="4" t="s">
        <v>48</v>
      </c>
      <c r="C1770" s="21"/>
      <c r="D1770" s="22" t="s">
        <v>49</v>
      </c>
      <c r="G1770" s="23">
        <v>45091</v>
      </c>
      <c r="H1770" s="24" t="s">
        <v>5234</v>
      </c>
      <c r="J1770" s="28" t="s">
        <v>51</v>
      </c>
      <c r="L1770" s="24" t="s">
        <v>5235</v>
      </c>
      <c r="M1770" s="1" t="str">
        <f>"131082198108070272"</f>
        <v>131082198108070272</v>
      </c>
      <c r="N1770" s="24" t="s">
        <v>5235</v>
      </c>
      <c r="O1770" s="1" t="str">
        <f>"131082198108070272"</f>
        <v>131082198108070272</v>
      </c>
      <c r="P1770" s="23" t="s">
        <v>5236</v>
      </c>
      <c r="Q1770" s="23">
        <v>45092</v>
      </c>
      <c r="R1770" s="32">
        <v>45458</v>
      </c>
      <c r="V1770" s="33">
        <v>100</v>
      </c>
      <c r="W1770" s="28">
        <v>64.29</v>
      </c>
      <c r="X1770" s="34" t="s">
        <v>54</v>
      </c>
      <c r="Y1770" s="33">
        <v>64.29</v>
      </c>
      <c r="AC1770" s="28">
        <v>64.29</v>
      </c>
      <c r="AD1770" s="34" t="s">
        <v>54</v>
      </c>
      <c r="AE1770" s="33">
        <v>64.29</v>
      </c>
      <c r="AN1770" s="7" t="s">
        <v>54</v>
      </c>
      <c r="AO1770" s="7" t="s">
        <v>55</v>
      </c>
      <c r="AP1770" s="7" t="s">
        <v>56</v>
      </c>
      <c r="AT1770" s="47" t="s">
        <v>57</v>
      </c>
      <c r="AU1770" s="47" t="s">
        <v>57</v>
      </c>
    </row>
    <row r="1771" spans="1:47">
      <c r="A1771" s="4" t="s">
        <v>48</v>
      </c>
      <c r="C1771" s="21"/>
      <c r="D1771" s="22" t="s">
        <v>49</v>
      </c>
      <c r="G1771" s="23">
        <v>45082</v>
      </c>
      <c r="H1771" s="24" t="s">
        <v>5237</v>
      </c>
      <c r="J1771" s="28" t="s">
        <v>51</v>
      </c>
      <c r="L1771" s="24" t="s">
        <v>5238</v>
      </c>
      <c r="M1771" s="1" t="str">
        <f>"211421198910105865"</f>
        <v>211421198910105865</v>
      </c>
      <c r="N1771" s="24" t="s">
        <v>5238</v>
      </c>
      <c r="O1771" s="1" t="str">
        <f>"211421198910105865"</f>
        <v>211421198910105865</v>
      </c>
      <c r="P1771" s="23" t="s">
        <v>5239</v>
      </c>
      <c r="Q1771" s="23">
        <v>45175</v>
      </c>
      <c r="R1771" s="32">
        <v>45541</v>
      </c>
      <c r="V1771" s="33">
        <v>100</v>
      </c>
      <c r="W1771" s="28">
        <v>64.29</v>
      </c>
      <c r="X1771" s="34" t="s">
        <v>54</v>
      </c>
      <c r="Y1771" s="33">
        <v>64.29</v>
      </c>
      <c r="AC1771" s="28">
        <v>64.29</v>
      </c>
      <c r="AD1771" s="34" t="s">
        <v>54</v>
      </c>
      <c r="AE1771" s="33">
        <v>64.29</v>
      </c>
      <c r="AN1771" s="7" t="s">
        <v>54</v>
      </c>
      <c r="AO1771" s="7" t="s">
        <v>55</v>
      </c>
      <c r="AP1771" s="7" t="s">
        <v>56</v>
      </c>
      <c r="AT1771" s="47" t="s">
        <v>57</v>
      </c>
      <c r="AU1771" s="47" t="s">
        <v>57</v>
      </c>
    </row>
    <row r="1772" spans="1:47">
      <c r="A1772" s="4" t="s">
        <v>48</v>
      </c>
      <c r="C1772" s="21"/>
      <c r="D1772" s="22" t="s">
        <v>49</v>
      </c>
      <c r="G1772" s="23">
        <v>45081</v>
      </c>
      <c r="H1772" s="24" t="s">
        <v>5240</v>
      </c>
      <c r="J1772" s="28" t="s">
        <v>51</v>
      </c>
      <c r="L1772" s="24" t="s">
        <v>5241</v>
      </c>
      <c r="M1772" s="1" t="str">
        <f>"210726200203292515"</f>
        <v>210726200203292515</v>
      </c>
      <c r="N1772" s="24" t="s">
        <v>5241</v>
      </c>
      <c r="O1772" s="1" t="str">
        <f>"210726200203292515"</f>
        <v>210726200203292515</v>
      </c>
      <c r="P1772" s="23" t="s">
        <v>5242</v>
      </c>
      <c r="Q1772" s="23">
        <v>45082</v>
      </c>
      <c r="R1772" s="32">
        <v>45448</v>
      </c>
      <c r="V1772" s="33">
        <v>100</v>
      </c>
      <c r="W1772" s="28">
        <v>64.29</v>
      </c>
      <c r="X1772" s="34" t="s">
        <v>54</v>
      </c>
      <c r="Y1772" s="33">
        <v>64.29</v>
      </c>
      <c r="AC1772" s="28">
        <v>64.29</v>
      </c>
      <c r="AD1772" s="34" t="s">
        <v>54</v>
      </c>
      <c r="AE1772" s="33">
        <v>64.29</v>
      </c>
      <c r="AN1772" s="7" t="s">
        <v>54</v>
      </c>
      <c r="AO1772" s="7" t="s">
        <v>55</v>
      </c>
      <c r="AP1772" s="7" t="s">
        <v>56</v>
      </c>
      <c r="AT1772" s="47" t="s">
        <v>57</v>
      </c>
      <c r="AU1772" s="47" t="s">
        <v>57</v>
      </c>
    </row>
    <row r="1773" spans="1:47">
      <c r="A1773" s="4" t="s">
        <v>48</v>
      </c>
      <c r="C1773" s="21"/>
      <c r="D1773" s="22" t="s">
        <v>49</v>
      </c>
      <c r="G1773" s="23">
        <v>45082</v>
      </c>
      <c r="H1773" s="24" t="s">
        <v>5243</v>
      </c>
      <c r="J1773" s="28" t="s">
        <v>51</v>
      </c>
      <c r="L1773" s="24" t="s">
        <v>5244</v>
      </c>
      <c r="M1773" s="1" t="str">
        <f>"132821197206070310"</f>
        <v>132821197206070310</v>
      </c>
      <c r="N1773" s="24" t="s">
        <v>5244</v>
      </c>
      <c r="O1773" s="1" t="str">
        <f>"132821197206070310"</f>
        <v>132821197206070310</v>
      </c>
      <c r="P1773" s="23" t="s">
        <v>5245</v>
      </c>
      <c r="Q1773" s="23">
        <v>45205</v>
      </c>
      <c r="R1773" s="32">
        <v>45571</v>
      </c>
      <c r="V1773" s="33">
        <v>100</v>
      </c>
      <c r="W1773" s="28">
        <v>64.29</v>
      </c>
      <c r="X1773" s="34" t="s">
        <v>54</v>
      </c>
      <c r="Y1773" s="33">
        <v>64.29</v>
      </c>
      <c r="AC1773" s="28">
        <v>64.29</v>
      </c>
      <c r="AD1773" s="34" t="s">
        <v>54</v>
      </c>
      <c r="AE1773" s="33">
        <v>64.29</v>
      </c>
      <c r="AN1773" s="7" t="s">
        <v>54</v>
      </c>
      <c r="AO1773" s="7" t="s">
        <v>55</v>
      </c>
      <c r="AP1773" s="7" t="s">
        <v>56</v>
      </c>
      <c r="AT1773" s="47" t="s">
        <v>57</v>
      </c>
      <c r="AU1773" s="47" t="s">
        <v>57</v>
      </c>
    </row>
    <row r="1774" spans="1:47">
      <c r="A1774" s="4" t="s">
        <v>48</v>
      </c>
      <c r="C1774" s="21"/>
      <c r="D1774" s="22" t="s">
        <v>49</v>
      </c>
      <c r="G1774" s="23">
        <v>45084</v>
      </c>
      <c r="H1774" s="24" t="s">
        <v>5246</v>
      </c>
      <c r="J1774" s="28" t="s">
        <v>51</v>
      </c>
      <c r="L1774" s="24" t="s">
        <v>2279</v>
      </c>
      <c r="M1774" s="1" t="str">
        <f>"210381198407023512"</f>
        <v>210381198407023512</v>
      </c>
      <c r="N1774" s="24" t="s">
        <v>2279</v>
      </c>
      <c r="O1774" s="1" t="str">
        <f>"210381198407023512"</f>
        <v>210381198407023512</v>
      </c>
      <c r="P1774" s="23" t="s">
        <v>5247</v>
      </c>
      <c r="Q1774" s="23">
        <v>45085</v>
      </c>
      <c r="R1774" s="32">
        <v>45451</v>
      </c>
      <c r="V1774" s="33">
        <v>200</v>
      </c>
      <c r="W1774" s="28">
        <v>64.29</v>
      </c>
      <c r="X1774" s="34" t="s">
        <v>54</v>
      </c>
      <c r="Y1774" s="33">
        <v>128.58</v>
      </c>
      <c r="AC1774" s="28">
        <v>64.29</v>
      </c>
      <c r="AD1774" s="34" t="s">
        <v>54</v>
      </c>
      <c r="AE1774" s="33">
        <v>128.58</v>
      </c>
      <c r="AN1774" s="7" t="s">
        <v>54</v>
      </c>
      <c r="AO1774" s="7" t="s">
        <v>55</v>
      </c>
      <c r="AP1774" s="7" t="s">
        <v>56</v>
      </c>
      <c r="AT1774" s="47" t="s">
        <v>57</v>
      </c>
      <c r="AU1774" s="47" t="s">
        <v>57</v>
      </c>
    </row>
    <row r="1775" spans="1:47">
      <c r="A1775" s="4" t="s">
        <v>48</v>
      </c>
      <c r="C1775" s="21"/>
      <c r="D1775" s="22" t="s">
        <v>49</v>
      </c>
      <c r="G1775" s="23">
        <v>45084</v>
      </c>
      <c r="H1775" s="24" t="s">
        <v>5248</v>
      </c>
      <c r="J1775" s="28" t="s">
        <v>51</v>
      </c>
      <c r="L1775" s="24" t="s">
        <v>2279</v>
      </c>
      <c r="M1775" s="1" t="str">
        <f>"110107195508291274"</f>
        <v>110107195508291274</v>
      </c>
      <c r="N1775" s="24" t="s">
        <v>2279</v>
      </c>
      <c r="O1775" s="1" t="str">
        <f>"110107195508291274"</f>
        <v>110107195508291274</v>
      </c>
      <c r="P1775" s="23" t="s">
        <v>5249</v>
      </c>
      <c r="Q1775" s="23">
        <v>45085</v>
      </c>
      <c r="R1775" s="32">
        <v>45451</v>
      </c>
      <c r="V1775" s="33">
        <v>200</v>
      </c>
      <c r="W1775" s="28">
        <v>64.29</v>
      </c>
      <c r="X1775" s="34" t="s">
        <v>54</v>
      </c>
      <c r="Y1775" s="33">
        <v>128.58</v>
      </c>
      <c r="AC1775" s="28">
        <v>64.29</v>
      </c>
      <c r="AD1775" s="34" t="s">
        <v>54</v>
      </c>
      <c r="AE1775" s="33">
        <v>128.58</v>
      </c>
      <c r="AN1775" s="7" t="s">
        <v>54</v>
      </c>
      <c r="AO1775" s="7" t="s">
        <v>55</v>
      </c>
      <c r="AP1775" s="7" t="s">
        <v>56</v>
      </c>
      <c r="AT1775" s="47" t="s">
        <v>57</v>
      </c>
      <c r="AU1775" s="47" t="s">
        <v>57</v>
      </c>
    </row>
    <row r="1776" spans="1:47">
      <c r="A1776" s="4" t="s">
        <v>48</v>
      </c>
      <c r="C1776" s="21"/>
      <c r="D1776" s="22" t="s">
        <v>49</v>
      </c>
      <c r="G1776" s="23">
        <v>45085</v>
      </c>
      <c r="H1776" s="24" t="s">
        <v>5250</v>
      </c>
      <c r="J1776" s="28" t="s">
        <v>51</v>
      </c>
      <c r="L1776" s="24" t="s">
        <v>261</v>
      </c>
      <c r="M1776" s="1" t="str">
        <f>"131028199909150025"</f>
        <v>131028199909150025</v>
      </c>
      <c r="N1776" s="24" t="s">
        <v>261</v>
      </c>
      <c r="O1776" s="1" t="str">
        <f>"131028199909150025"</f>
        <v>131028199909150025</v>
      </c>
      <c r="P1776" s="23" t="s">
        <v>5251</v>
      </c>
      <c r="Q1776" s="23">
        <v>45086</v>
      </c>
      <c r="R1776" s="32">
        <v>45452</v>
      </c>
      <c r="V1776" s="33">
        <v>200</v>
      </c>
      <c r="W1776" s="28">
        <v>64.29</v>
      </c>
      <c r="X1776" s="34" t="s">
        <v>54</v>
      </c>
      <c r="Y1776" s="33">
        <v>128.58</v>
      </c>
      <c r="AC1776" s="28">
        <v>64.29</v>
      </c>
      <c r="AD1776" s="34" t="s">
        <v>54</v>
      </c>
      <c r="AE1776" s="33">
        <v>128.58</v>
      </c>
      <c r="AN1776" s="7" t="s">
        <v>54</v>
      </c>
      <c r="AO1776" s="7" t="s">
        <v>55</v>
      </c>
      <c r="AP1776" s="7" t="s">
        <v>56</v>
      </c>
      <c r="AT1776" s="47" t="s">
        <v>57</v>
      </c>
      <c r="AU1776" s="47" t="s">
        <v>57</v>
      </c>
    </row>
    <row r="1777" spans="1:47">
      <c r="A1777" s="4" t="s">
        <v>48</v>
      </c>
      <c r="C1777" s="21"/>
      <c r="D1777" s="22" t="s">
        <v>49</v>
      </c>
      <c r="G1777" s="23">
        <v>45079</v>
      </c>
      <c r="H1777" s="24" t="s">
        <v>5252</v>
      </c>
      <c r="J1777" s="28" t="s">
        <v>51</v>
      </c>
      <c r="L1777" s="24" t="s">
        <v>5253</v>
      </c>
      <c r="M1777" s="1" t="str">
        <f>"211481198611102521"</f>
        <v>211481198611102521</v>
      </c>
      <c r="N1777" s="24" t="s">
        <v>5253</v>
      </c>
      <c r="O1777" s="1" t="str">
        <f>"211481198611102521"</f>
        <v>211481198611102521</v>
      </c>
      <c r="P1777" s="23" t="s">
        <v>5254</v>
      </c>
      <c r="Q1777" s="23">
        <v>45080</v>
      </c>
      <c r="R1777" s="32">
        <v>45446</v>
      </c>
      <c r="V1777" s="33">
        <v>200</v>
      </c>
      <c r="W1777" s="28">
        <v>64.29</v>
      </c>
      <c r="X1777" s="34" t="s">
        <v>54</v>
      </c>
      <c r="Y1777" s="33">
        <v>128.58</v>
      </c>
      <c r="AC1777" s="28">
        <v>64.29</v>
      </c>
      <c r="AD1777" s="34" t="s">
        <v>54</v>
      </c>
      <c r="AE1777" s="33">
        <v>128.58</v>
      </c>
      <c r="AN1777" s="7" t="s">
        <v>54</v>
      </c>
      <c r="AO1777" s="7" t="s">
        <v>55</v>
      </c>
      <c r="AP1777" s="7" t="s">
        <v>56</v>
      </c>
      <c r="AT1777" s="47" t="s">
        <v>57</v>
      </c>
      <c r="AU1777" s="47" t="s">
        <v>57</v>
      </c>
    </row>
    <row r="1778" spans="1:47">
      <c r="A1778" s="4" t="s">
        <v>48</v>
      </c>
      <c r="C1778" s="21"/>
      <c r="D1778" s="22" t="s">
        <v>49</v>
      </c>
      <c r="G1778" s="23">
        <v>45102</v>
      </c>
      <c r="H1778" s="24" t="s">
        <v>5255</v>
      </c>
      <c r="J1778" s="28" t="s">
        <v>51</v>
      </c>
      <c r="L1778" s="24" t="s">
        <v>5256</v>
      </c>
      <c r="M1778" s="1" t="str">
        <f>"131082196511120269"</f>
        <v>131082196511120269</v>
      </c>
      <c r="N1778" s="24" t="s">
        <v>5256</v>
      </c>
      <c r="O1778" s="1" t="str">
        <f>"131082196511120269"</f>
        <v>131082196511120269</v>
      </c>
      <c r="P1778" s="23" t="s">
        <v>5257</v>
      </c>
      <c r="Q1778" s="23">
        <v>45225</v>
      </c>
      <c r="R1778" s="32">
        <v>45591</v>
      </c>
      <c r="V1778" s="33">
        <v>100</v>
      </c>
      <c r="W1778" s="28">
        <v>64.29</v>
      </c>
      <c r="X1778" s="34" t="s">
        <v>54</v>
      </c>
      <c r="Y1778" s="33">
        <v>64.29</v>
      </c>
      <c r="AC1778" s="28">
        <v>64.29</v>
      </c>
      <c r="AD1778" s="34" t="s">
        <v>54</v>
      </c>
      <c r="AE1778" s="33">
        <v>64.29</v>
      </c>
      <c r="AN1778" s="7" t="s">
        <v>54</v>
      </c>
      <c r="AO1778" s="7" t="s">
        <v>55</v>
      </c>
      <c r="AP1778" s="7" t="s">
        <v>56</v>
      </c>
      <c r="AT1778" s="47" t="s">
        <v>57</v>
      </c>
      <c r="AU1778" s="47" t="s">
        <v>57</v>
      </c>
    </row>
    <row r="1779" spans="1:47">
      <c r="A1779" s="4" t="s">
        <v>48</v>
      </c>
      <c r="C1779" s="21"/>
      <c r="D1779" s="22" t="s">
        <v>49</v>
      </c>
      <c r="G1779" s="23">
        <v>45102</v>
      </c>
      <c r="H1779" s="24" t="s">
        <v>5258</v>
      </c>
      <c r="J1779" s="28" t="s">
        <v>51</v>
      </c>
      <c r="L1779" s="24" t="s">
        <v>1737</v>
      </c>
      <c r="M1779" s="1" t="str">
        <f>"131082196901135538"</f>
        <v>131082196901135538</v>
      </c>
      <c r="N1779" s="24" t="s">
        <v>1737</v>
      </c>
      <c r="O1779" s="1" t="str">
        <f>"131082196901135538"</f>
        <v>131082196901135538</v>
      </c>
      <c r="P1779" s="23" t="s">
        <v>5259</v>
      </c>
      <c r="Q1779" s="23">
        <v>45103</v>
      </c>
      <c r="R1779" s="32">
        <v>45469</v>
      </c>
      <c r="V1779" s="33">
        <v>100</v>
      </c>
      <c r="W1779" s="28">
        <v>64.29</v>
      </c>
      <c r="X1779" s="34" t="s">
        <v>54</v>
      </c>
      <c r="Y1779" s="33">
        <v>64.29</v>
      </c>
      <c r="AC1779" s="28">
        <v>64.29</v>
      </c>
      <c r="AD1779" s="34" t="s">
        <v>54</v>
      </c>
      <c r="AE1779" s="33">
        <v>64.29</v>
      </c>
      <c r="AN1779" s="7" t="s">
        <v>54</v>
      </c>
      <c r="AO1779" s="7" t="s">
        <v>55</v>
      </c>
      <c r="AP1779" s="7" t="s">
        <v>56</v>
      </c>
      <c r="AT1779" s="47" t="s">
        <v>57</v>
      </c>
      <c r="AU1779" s="47" t="s">
        <v>57</v>
      </c>
    </row>
    <row r="1780" spans="1:47">
      <c r="A1780" s="4" t="s">
        <v>48</v>
      </c>
      <c r="C1780" s="21"/>
      <c r="D1780" s="22" t="s">
        <v>49</v>
      </c>
      <c r="G1780" s="23">
        <v>45101</v>
      </c>
      <c r="H1780" s="24" t="s">
        <v>5260</v>
      </c>
      <c r="J1780" s="28" t="s">
        <v>51</v>
      </c>
      <c r="L1780" s="24" t="s">
        <v>5261</v>
      </c>
      <c r="M1780" s="1" t="str">
        <f>"341204198810191067"</f>
        <v>341204198810191067</v>
      </c>
      <c r="N1780" s="24" t="s">
        <v>5261</v>
      </c>
      <c r="O1780" s="1" t="str">
        <f>"341204198810191067"</f>
        <v>341204198810191067</v>
      </c>
      <c r="P1780" s="23" t="s">
        <v>5262</v>
      </c>
      <c r="Q1780" s="23">
        <v>45102</v>
      </c>
      <c r="R1780" s="32">
        <v>45468</v>
      </c>
      <c r="V1780" s="33">
        <v>100</v>
      </c>
      <c r="W1780" s="28">
        <v>64.29</v>
      </c>
      <c r="X1780" s="34" t="s">
        <v>54</v>
      </c>
      <c r="Y1780" s="33">
        <v>64.29</v>
      </c>
      <c r="AC1780" s="28">
        <v>64.29</v>
      </c>
      <c r="AD1780" s="34" t="s">
        <v>54</v>
      </c>
      <c r="AE1780" s="33">
        <v>64.29</v>
      </c>
      <c r="AN1780" s="7" t="s">
        <v>54</v>
      </c>
      <c r="AO1780" s="7" t="s">
        <v>55</v>
      </c>
      <c r="AP1780" s="7" t="s">
        <v>56</v>
      </c>
      <c r="AT1780" s="47" t="s">
        <v>57</v>
      </c>
      <c r="AU1780" s="47" t="s">
        <v>57</v>
      </c>
    </row>
    <row r="1781" spans="1:47">
      <c r="A1781" s="4" t="s">
        <v>48</v>
      </c>
      <c r="C1781" s="21"/>
      <c r="D1781" s="22" t="s">
        <v>49</v>
      </c>
      <c r="G1781" s="23">
        <v>45102</v>
      </c>
      <c r="H1781" s="24" t="s">
        <v>5263</v>
      </c>
      <c r="J1781" s="28" t="s">
        <v>51</v>
      </c>
      <c r="L1781" s="24" t="s">
        <v>5264</v>
      </c>
      <c r="M1781" s="1" t="str">
        <f>"341204196909090830"</f>
        <v>341204196909090830</v>
      </c>
      <c r="N1781" s="24" t="s">
        <v>5264</v>
      </c>
      <c r="O1781" s="1" t="str">
        <f>"341204196909090830"</f>
        <v>341204196909090830</v>
      </c>
      <c r="P1781" s="23" t="s">
        <v>5265</v>
      </c>
      <c r="Q1781" s="23">
        <v>45108</v>
      </c>
      <c r="R1781" s="32">
        <v>45474</v>
      </c>
      <c r="V1781" s="33">
        <v>100</v>
      </c>
      <c r="W1781" s="28">
        <v>64.29</v>
      </c>
      <c r="X1781" s="34" t="s">
        <v>54</v>
      </c>
      <c r="Y1781" s="33">
        <v>64.29</v>
      </c>
      <c r="AC1781" s="28">
        <v>64.29</v>
      </c>
      <c r="AD1781" s="34" t="s">
        <v>54</v>
      </c>
      <c r="AE1781" s="33">
        <v>64.29</v>
      </c>
      <c r="AN1781" s="7" t="s">
        <v>54</v>
      </c>
      <c r="AO1781" s="7" t="s">
        <v>55</v>
      </c>
      <c r="AP1781" s="7" t="s">
        <v>56</v>
      </c>
      <c r="AT1781" s="47" t="s">
        <v>57</v>
      </c>
      <c r="AU1781" s="47" t="s">
        <v>57</v>
      </c>
    </row>
    <row r="1782" spans="1:47">
      <c r="A1782" s="4" t="s">
        <v>48</v>
      </c>
      <c r="C1782" s="21"/>
      <c r="D1782" s="22" t="s">
        <v>49</v>
      </c>
      <c r="G1782" s="23">
        <v>45092</v>
      </c>
      <c r="H1782" s="24" t="s">
        <v>5266</v>
      </c>
      <c r="J1782" s="28" t="s">
        <v>51</v>
      </c>
      <c r="L1782" s="24" t="s">
        <v>5267</v>
      </c>
      <c r="M1782" s="1" t="str">
        <f>"130731198803260040"</f>
        <v>130731198803260040</v>
      </c>
      <c r="N1782" s="24" t="s">
        <v>5267</v>
      </c>
      <c r="O1782" s="1" t="str">
        <f>"130731198803260040"</f>
        <v>130731198803260040</v>
      </c>
      <c r="P1782" s="23" t="s">
        <v>5268</v>
      </c>
      <c r="Q1782" s="23">
        <v>45093</v>
      </c>
      <c r="R1782" s="32">
        <v>45459</v>
      </c>
      <c r="V1782" s="33">
        <v>100</v>
      </c>
      <c r="W1782" s="28">
        <v>64.29</v>
      </c>
      <c r="X1782" s="34" t="s">
        <v>54</v>
      </c>
      <c r="Y1782" s="33">
        <v>64.29</v>
      </c>
      <c r="AC1782" s="28">
        <v>64.29</v>
      </c>
      <c r="AD1782" s="34" t="s">
        <v>54</v>
      </c>
      <c r="AE1782" s="33">
        <v>64.29</v>
      </c>
      <c r="AN1782" s="7" t="s">
        <v>54</v>
      </c>
      <c r="AO1782" s="7" t="s">
        <v>55</v>
      </c>
      <c r="AP1782" s="7" t="s">
        <v>56</v>
      </c>
      <c r="AT1782" s="47" t="s">
        <v>57</v>
      </c>
      <c r="AU1782" s="47" t="s">
        <v>57</v>
      </c>
    </row>
    <row r="1783" spans="1:47">
      <c r="A1783" s="4" t="s">
        <v>48</v>
      </c>
      <c r="C1783" s="21"/>
      <c r="D1783" s="22" t="s">
        <v>49</v>
      </c>
      <c r="G1783" s="23">
        <v>45092</v>
      </c>
      <c r="H1783" s="24" t="s">
        <v>5269</v>
      </c>
      <c r="J1783" s="28" t="s">
        <v>51</v>
      </c>
      <c r="L1783" s="24" t="s">
        <v>5270</v>
      </c>
      <c r="M1783" s="1" t="str">
        <f>"131082198408230469"</f>
        <v>131082198408230469</v>
      </c>
      <c r="N1783" s="24" t="s">
        <v>5270</v>
      </c>
      <c r="O1783" s="1" t="str">
        <f>"131082198408230469"</f>
        <v>131082198408230469</v>
      </c>
      <c r="P1783" s="23" t="s">
        <v>5271</v>
      </c>
      <c r="Q1783" s="23">
        <v>45093</v>
      </c>
      <c r="R1783" s="32">
        <v>45459</v>
      </c>
      <c r="V1783" s="33">
        <v>100</v>
      </c>
      <c r="W1783" s="28">
        <v>64.29</v>
      </c>
      <c r="X1783" s="34" t="s">
        <v>54</v>
      </c>
      <c r="Y1783" s="33">
        <v>64.29</v>
      </c>
      <c r="AC1783" s="28">
        <v>64.29</v>
      </c>
      <c r="AD1783" s="34" t="s">
        <v>54</v>
      </c>
      <c r="AE1783" s="33">
        <v>64.29</v>
      </c>
      <c r="AN1783" s="7" t="s">
        <v>54</v>
      </c>
      <c r="AO1783" s="7" t="s">
        <v>55</v>
      </c>
      <c r="AP1783" s="7" t="s">
        <v>56</v>
      </c>
      <c r="AT1783" s="47" t="s">
        <v>57</v>
      </c>
      <c r="AU1783" s="47" t="s">
        <v>57</v>
      </c>
    </row>
    <row r="1784" spans="1:47">
      <c r="A1784" s="4" t="s">
        <v>48</v>
      </c>
      <c r="C1784" s="21"/>
      <c r="D1784" s="22" t="s">
        <v>49</v>
      </c>
      <c r="G1784" s="23">
        <v>45090</v>
      </c>
      <c r="H1784" s="24" t="s">
        <v>5272</v>
      </c>
      <c r="J1784" s="28" t="s">
        <v>51</v>
      </c>
      <c r="L1784" s="24" t="s">
        <v>5273</v>
      </c>
      <c r="M1784" s="1" t="str">
        <f>"362202198208242046"</f>
        <v>362202198208242046</v>
      </c>
      <c r="N1784" s="24" t="s">
        <v>5273</v>
      </c>
      <c r="O1784" s="1" t="str">
        <f>"362202198208242046"</f>
        <v>362202198208242046</v>
      </c>
      <c r="P1784" s="23" t="s">
        <v>5274</v>
      </c>
      <c r="Q1784" s="23">
        <v>45181</v>
      </c>
      <c r="R1784" s="32">
        <v>45547</v>
      </c>
      <c r="V1784" s="33">
        <v>100</v>
      </c>
      <c r="W1784" s="28">
        <v>64.29</v>
      </c>
      <c r="X1784" s="34" t="s">
        <v>54</v>
      </c>
      <c r="Y1784" s="33">
        <v>64.29</v>
      </c>
      <c r="AC1784" s="28">
        <v>64.29</v>
      </c>
      <c r="AD1784" s="34" t="s">
        <v>54</v>
      </c>
      <c r="AE1784" s="33">
        <v>64.29</v>
      </c>
      <c r="AN1784" s="7" t="s">
        <v>54</v>
      </c>
      <c r="AO1784" s="7" t="s">
        <v>55</v>
      </c>
      <c r="AP1784" s="7" t="s">
        <v>56</v>
      </c>
      <c r="AT1784" s="47" t="s">
        <v>57</v>
      </c>
      <c r="AU1784" s="47" t="s">
        <v>57</v>
      </c>
    </row>
    <row r="1785" spans="1:47">
      <c r="A1785" s="4" t="s">
        <v>48</v>
      </c>
      <c r="C1785" s="21"/>
      <c r="D1785" s="22" t="s">
        <v>49</v>
      </c>
      <c r="G1785" s="23">
        <v>45082</v>
      </c>
      <c r="H1785" s="24" t="s">
        <v>5275</v>
      </c>
      <c r="J1785" s="28" t="s">
        <v>51</v>
      </c>
      <c r="L1785" s="24" t="s">
        <v>5276</v>
      </c>
      <c r="M1785" s="1" t="str">
        <f>"120222200111301010"</f>
        <v>120222200111301010</v>
      </c>
      <c r="N1785" s="24" t="s">
        <v>5276</v>
      </c>
      <c r="O1785" s="1" t="str">
        <f>"120222200111301010"</f>
        <v>120222200111301010</v>
      </c>
      <c r="P1785" s="23" t="s">
        <v>5277</v>
      </c>
      <c r="Q1785" s="23">
        <v>45175</v>
      </c>
      <c r="R1785" s="32">
        <v>45541</v>
      </c>
      <c r="V1785" s="33">
        <v>100</v>
      </c>
      <c r="W1785" s="28">
        <v>64.29</v>
      </c>
      <c r="X1785" s="34" t="s">
        <v>54</v>
      </c>
      <c r="Y1785" s="33">
        <v>64.29</v>
      </c>
      <c r="AC1785" s="28">
        <v>64.29</v>
      </c>
      <c r="AD1785" s="34" t="s">
        <v>54</v>
      </c>
      <c r="AE1785" s="33">
        <v>64.29</v>
      </c>
      <c r="AN1785" s="7" t="s">
        <v>54</v>
      </c>
      <c r="AO1785" s="7" t="s">
        <v>55</v>
      </c>
      <c r="AP1785" s="7" t="s">
        <v>56</v>
      </c>
      <c r="AT1785" s="47" t="s">
        <v>57</v>
      </c>
      <c r="AU1785" s="47" t="s">
        <v>57</v>
      </c>
    </row>
    <row r="1786" spans="1:47">
      <c r="A1786" s="4" t="s">
        <v>48</v>
      </c>
      <c r="C1786" s="21"/>
      <c r="D1786" s="22" t="s">
        <v>49</v>
      </c>
      <c r="G1786" s="23">
        <v>45078</v>
      </c>
      <c r="H1786" s="24" t="s">
        <v>5278</v>
      </c>
      <c r="J1786" s="28" t="s">
        <v>51</v>
      </c>
      <c r="L1786" s="24" t="s">
        <v>5279</v>
      </c>
      <c r="M1786" s="1" t="str">
        <f>"130828198405192027"</f>
        <v>130828198405192027</v>
      </c>
      <c r="N1786" s="24" t="s">
        <v>5279</v>
      </c>
      <c r="O1786" s="1" t="str">
        <f>"130828198405192027"</f>
        <v>130828198405192027</v>
      </c>
      <c r="P1786" s="23" t="s">
        <v>5280</v>
      </c>
      <c r="Q1786" s="23">
        <v>45079</v>
      </c>
      <c r="R1786" s="32">
        <v>45445</v>
      </c>
      <c r="V1786" s="33">
        <v>100</v>
      </c>
      <c r="W1786" s="28">
        <v>64.29</v>
      </c>
      <c r="X1786" s="34" t="s">
        <v>54</v>
      </c>
      <c r="Y1786" s="33">
        <v>64.29</v>
      </c>
      <c r="AC1786" s="28">
        <v>64.29</v>
      </c>
      <c r="AD1786" s="34" t="s">
        <v>54</v>
      </c>
      <c r="AE1786" s="33">
        <v>64.29</v>
      </c>
      <c r="AN1786" s="7" t="s">
        <v>54</v>
      </c>
      <c r="AO1786" s="7" t="s">
        <v>55</v>
      </c>
      <c r="AP1786" s="7" t="s">
        <v>56</v>
      </c>
      <c r="AT1786" s="47" t="s">
        <v>57</v>
      </c>
      <c r="AU1786" s="47" t="s">
        <v>57</v>
      </c>
    </row>
    <row r="1787" spans="1:47">
      <c r="A1787" s="4" t="s">
        <v>48</v>
      </c>
      <c r="C1787" s="21"/>
      <c r="D1787" s="22" t="s">
        <v>49</v>
      </c>
      <c r="G1787" s="23">
        <v>45078</v>
      </c>
      <c r="H1787" s="24" t="s">
        <v>5281</v>
      </c>
      <c r="J1787" s="28" t="s">
        <v>51</v>
      </c>
      <c r="L1787" s="24" t="s">
        <v>5282</v>
      </c>
      <c r="M1787" s="1" t="str">
        <f>"131024198911140715"</f>
        <v>131024198911140715</v>
      </c>
      <c r="N1787" s="24" t="s">
        <v>5282</v>
      </c>
      <c r="O1787" s="1" t="str">
        <f>"131024198911140715"</f>
        <v>131024198911140715</v>
      </c>
      <c r="P1787" s="23" t="s">
        <v>5283</v>
      </c>
      <c r="Q1787" s="23">
        <v>45289</v>
      </c>
      <c r="R1787" s="32">
        <v>45655</v>
      </c>
      <c r="V1787" s="33">
        <v>100</v>
      </c>
      <c r="W1787" s="28">
        <v>64.29</v>
      </c>
      <c r="X1787" s="34" t="s">
        <v>54</v>
      </c>
      <c r="Y1787" s="33">
        <v>64.29</v>
      </c>
      <c r="AC1787" s="28">
        <v>64.29</v>
      </c>
      <c r="AD1787" s="34" t="s">
        <v>54</v>
      </c>
      <c r="AE1787" s="33">
        <v>64.29</v>
      </c>
      <c r="AN1787" s="7" t="s">
        <v>54</v>
      </c>
      <c r="AO1787" s="7" t="s">
        <v>55</v>
      </c>
      <c r="AP1787" s="7" t="s">
        <v>56</v>
      </c>
      <c r="AT1787" s="47" t="s">
        <v>57</v>
      </c>
      <c r="AU1787" s="47" t="s">
        <v>57</v>
      </c>
    </row>
    <row r="1788" spans="1:47">
      <c r="A1788" s="4" t="s">
        <v>48</v>
      </c>
      <c r="C1788" s="21"/>
      <c r="D1788" s="22" t="s">
        <v>49</v>
      </c>
      <c r="G1788" s="23">
        <v>45078</v>
      </c>
      <c r="H1788" s="24" t="s">
        <v>5284</v>
      </c>
      <c r="J1788" s="28" t="s">
        <v>51</v>
      </c>
      <c r="L1788" s="24" t="s">
        <v>5285</v>
      </c>
      <c r="M1788" s="1" t="str">
        <f>"131082196512180263"</f>
        <v>131082196512180263</v>
      </c>
      <c r="N1788" s="24" t="s">
        <v>5285</v>
      </c>
      <c r="O1788" s="1" t="str">
        <f>"131082196512180263"</f>
        <v>131082196512180263</v>
      </c>
      <c r="P1788" s="23" t="s">
        <v>5286</v>
      </c>
      <c r="Q1788" s="23">
        <v>45140</v>
      </c>
      <c r="R1788" s="32">
        <v>45506</v>
      </c>
      <c r="V1788" s="33">
        <v>100</v>
      </c>
      <c r="W1788" s="28">
        <v>64.29</v>
      </c>
      <c r="X1788" s="34" t="s">
        <v>54</v>
      </c>
      <c r="Y1788" s="33">
        <v>64.29</v>
      </c>
      <c r="AC1788" s="28">
        <v>64.29</v>
      </c>
      <c r="AD1788" s="34" t="s">
        <v>54</v>
      </c>
      <c r="AE1788" s="33">
        <v>64.29</v>
      </c>
      <c r="AN1788" s="7" t="s">
        <v>54</v>
      </c>
      <c r="AO1788" s="7" t="s">
        <v>55</v>
      </c>
      <c r="AP1788" s="7" t="s">
        <v>56</v>
      </c>
      <c r="AT1788" s="47" t="s">
        <v>57</v>
      </c>
      <c r="AU1788" s="47" t="s">
        <v>57</v>
      </c>
    </row>
    <row r="1789" spans="1:47">
      <c r="A1789" s="4" t="s">
        <v>48</v>
      </c>
      <c r="C1789" s="21"/>
      <c r="D1789" s="22" t="s">
        <v>49</v>
      </c>
      <c r="G1789" s="23">
        <v>45078</v>
      </c>
      <c r="H1789" s="24" t="s">
        <v>5287</v>
      </c>
      <c r="J1789" s="28" t="s">
        <v>51</v>
      </c>
      <c r="L1789" s="24" t="s">
        <v>5288</v>
      </c>
      <c r="M1789" s="1" t="str">
        <f>"130321199010082117"</f>
        <v>130321199010082117</v>
      </c>
      <c r="N1789" s="24" t="s">
        <v>5288</v>
      </c>
      <c r="O1789" s="1" t="str">
        <f>"130321199010082117"</f>
        <v>130321199010082117</v>
      </c>
      <c r="P1789" s="23" t="s">
        <v>5289</v>
      </c>
      <c r="Q1789" s="23">
        <v>45289</v>
      </c>
      <c r="R1789" s="32">
        <v>45655</v>
      </c>
      <c r="V1789" s="33">
        <v>100</v>
      </c>
      <c r="W1789" s="28">
        <v>64.29</v>
      </c>
      <c r="X1789" s="34" t="s">
        <v>54</v>
      </c>
      <c r="Y1789" s="33">
        <v>64.29</v>
      </c>
      <c r="AC1789" s="28">
        <v>64.29</v>
      </c>
      <c r="AD1789" s="34" t="s">
        <v>54</v>
      </c>
      <c r="AE1789" s="33">
        <v>64.29</v>
      </c>
      <c r="AN1789" s="7" t="s">
        <v>54</v>
      </c>
      <c r="AO1789" s="7" t="s">
        <v>55</v>
      </c>
      <c r="AP1789" s="7" t="s">
        <v>56</v>
      </c>
      <c r="AT1789" s="47" t="s">
        <v>57</v>
      </c>
      <c r="AU1789" s="47" t="s">
        <v>57</v>
      </c>
    </row>
    <row r="1790" spans="1:47">
      <c r="A1790" s="4" t="s">
        <v>48</v>
      </c>
      <c r="C1790" s="21"/>
      <c r="D1790" s="22" t="s">
        <v>49</v>
      </c>
      <c r="G1790" s="23">
        <v>45078</v>
      </c>
      <c r="H1790" s="24" t="s">
        <v>5290</v>
      </c>
      <c r="J1790" s="28" t="s">
        <v>51</v>
      </c>
      <c r="L1790" s="24" t="s">
        <v>4734</v>
      </c>
      <c r="M1790" s="1" t="str">
        <f>"131082197010157519"</f>
        <v>131082197010157519</v>
      </c>
      <c r="N1790" s="24" t="s">
        <v>4734</v>
      </c>
      <c r="O1790" s="1" t="str">
        <f>"131082197010157519"</f>
        <v>131082197010157519</v>
      </c>
      <c r="P1790" s="23" t="s">
        <v>5291</v>
      </c>
      <c r="Q1790" s="23">
        <v>45093</v>
      </c>
      <c r="R1790" s="32">
        <v>45459</v>
      </c>
      <c r="V1790" s="33">
        <v>100</v>
      </c>
      <c r="W1790" s="28">
        <v>64.29</v>
      </c>
      <c r="X1790" s="34" t="s">
        <v>54</v>
      </c>
      <c r="Y1790" s="33">
        <v>64.29</v>
      </c>
      <c r="AC1790" s="28">
        <v>64.29</v>
      </c>
      <c r="AD1790" s="34" t="s">
        <v>54</v>
      </c>
      <c r="AE1790" s="33">
        <v>64.29</v>
      </c>
      <c r="AN1790" s="7" t="s">
        <v>54</v>
      </c>
      <c r="AO1790" s="7" t="s">
        <v>55</v>
      </c>
      <c r="AP1790" s="7" t="s">
        <v>56</v>
      </c>
      <c r="AT1790" s="47" t="s">
        <v>57</v>
      </c>
      <c r="AU1790" s="47" t="s">
        <v>57</v>
      </c>
    </row>
    <row r="1791" spans="1:47">
      <c r="A1791" s="4" t="s">
        <v>48</v>
      </c>
      <c r="C1791" s="21"/>
      <c r="D1791" s="22" t="s">
        <v>49</v>
      </c>
      <c r="G1791" s="23">
        <v>45082</v>
      </c>
      <c r="H1791" s="24" t="s">
        <v>5292</v>
      </c>
      <c r="J1791" s="28" t="s">
        <v>51</v>
      </c>
      <c r="L1791" s="24" t="s">
        <v>5293</v>
      </c>
      <c r="M1791" s="1" t="str">
        <f>"130434198903213914"</f>
        <v>130434198903213914</v>
      </c>
      <c r="N1791" s="24" t="s">
        <v>5293</v>
      </c>
      <c r="O1791" s="1" t="str">
        <f>"130434198903213914"</f>
        <v>130434198903213914</v>
      </c>
      <c r="P1791" s="23" t="s">
        <v>5294</v>
      </c>
      <c r="Q1791" s="23">
        <v>45083</v>
      </c>
      <c r="R1791" s="32">
        <v>45449</v>
      </c>
      <c r="V1791" s="33">
        <v>200</v>
      </c>
      <c r="W1791" s="28">
        <v>64.29</v>
      </c>
      <c r="X1791" s="34" t="s">
        <v>54</v>
      </c>
      <c r="Y1791" s="33">
        <v>128.58</v>
      </c>
      <c r="AC1791" s="28">
        <v>64.29</v>
      </c>
      <c r="AD1791" s="34" t="s">
        <v>54</v>
      </c>
      <c r="AE1791" s="33">
        <v>128.58</v>
      </c>
      <c r="AN1791" s="7" t="s">
        <v>54</v>
      </c>
      <c r="AO1791" s="7" t="s">
        <v>55</v>
      </c>
      <c r="AP1791" s="7" t="s">
        <v>56</v>
      </c>
      <c r="AT1791" s="47" t="s">
        <v>57</v>
      </c>
      <c r="AU1791" s="47" t="s">
        <v>57</v>
      </c>
    </row>
    <row r="1792" spans="1:47">
      <c r="A1792" s="4" t="s">
        <v>48</v>
      </c>
      <c r="C1792" s="21"/>
      <c r="D1792" s="22" t="s">
        <v>49</v>
      </c>
      <c r="G1792" s="23">
        <v>45101</v>
      </c>
      <c r="H1792" s="24" t="s">
        <v>5295</v>
      </c>
      <c r="J1792" s="28" t="s">
        <v>51</v>
      </c>
      <c r="L1792" s="24" t="s">
        <v>5296</v>
      </c>
      <c r="M1792" s="1" t="str">
        <f>"371122198904186851"</f>
        <v>371122198904186851</v>
      </c>
      <c r="N1792" s="24" t="s">
        <v>5296</v>
      </c>
      <c r="O1792" s="1" t="str">
        <f>"371122198904186851"</f>
        <v>371122198904186851</v>
      </c>
      <c r="P1792" s="23" t="s">
        <v>5297</v>
      </c>
      <c r="Q1792" s="23">
        <v>45148</v>
      </c>
      <c r="R1792" s="32">
        <v>45514</v>
      </c>
      <c r="V1792" s="33">
        <v>50</v>
      </c>
      <c r="W1792" s="28">
        <v>64.29</v>
      </c>
      <c r="X1792" s="34" t="s">
        <v>54</v>
      </c>
      <c r="Y1792" s="33">
        <v>32.15</v>
      </c>
      <c r="AC1792" s="28">
        <v>64.29</v>
      </c>
      <c r="AD1792" s="34" t="s">
        <v>54</v>
      </c>
      <c r="AE1792" s="33">
        <v>32.15</v>
      </c>
      <c r="AN1792" s="7" t="s">
        <v>54</v>
      </c>
      <c r="AO1792" s="7" t="s">
        <v>55</v>
      </c>
      <c r="AP1792" s="7" t="s">
        <v>56</v>
      </c>
      <c r="AT1792" s="47" t="s">
        <v>57</v>
      </c>
      <c r="AU1792" s="47" t="s">
        <v>57</v>
      </c>
    </row>
    <row r="1793" spans="1:47">
      <c r="A1793" s="4" t="s">
        <v>48</v>
      </c>
      <c r="C1793" s="21"/>
      <c r="D1793" s="22" t="s">
        <v>49</v>
      </c>
      <c r="G1793" s="23">
        <v>45096</v>
      </c>
      <c r="H1793" s="24" t="s">
        <v>5298</v>
      </c>
      <c r="J1793" s="28" t="s">
        <v>51</v>
      </c>
      <c r="L1793" s="24" t="s">
        <v>5299</v>
      </c>
      <c r="M1793" s="1" t="str">
        <f>"131082198511291024"</f>
        <v>131082198511291024</v>
      </c>
      <c r="N1793" s="24" t="s">
        <v>5299</v>
      </c>
      <c r="O1793" s="1" t="str">
        <f>"131082198511291024"</f>
        <v>131082198511291024</v>
      </c>
      <c r="P1793" s="23" t="s">
        <v>5300</v>
      </c>
      <c r="Q1793" s="23">
        <v>45097</v>
      </c>
      <c r="R1793" s="32">
        <v>45463</v>
      </c>
      <c r="V1793" s="33">
        <v>50</v>
      </c>
      <c r="W1793" s="28">
        <v>64.29</v>
      </c>
      <c r="X1793" s="34" t="s">
        <v>54</v>
      </c>
      <c r="Y1793" s="33">
        <v>32.15</v>
      </c>
      <c r="AC1793" s="28">
        <v>64.29</v>
      </c>
      <c r="AD1793" s="34" t="s">
        <v>54</v>
      </c>
      <c r="AE1793" s="33">
        <v>32.15</v>
      </c>
      <c r="AN1793" s="7" t="s">
        <v>54</v>
      </c>
      <c r="AO1793" s="7" t="s">
        <v>55</v>
      </c>
      <c r="AP1793" s="7" t="s">
        <v>56</v>
      </c>
      <c r="AT1793" s="47" t="s">
        <v>57</v>
      </c>
      <c r="AU1793" s="47" t="s">
        <v>57</v>
      </c>
    </row>
    <row r="1794" spans="1:47">
      <c r="A1794" s="4" t="s">
        <v>48</v>
      </c>
      <c r="C1794" s="21"/>
      <c r="D1794" s="22" t="s">
        <v>49</v>
      </c>
      <c r="G1794" s="23">
        <v>45098</v>
      </c>
      <c r="H1794" s="24" t="s">
        <v>5301</v>
      </c>
      <c r="J1794" s="28" t="s">
        <v>51</v>
      </c>
      <c r="L1794" s="24" t="s">
        <v>5302</v>
      </c>
      <c r="M1794" s="1" t="str">
        <f>"652201197607080660"</f>
        <v>652201197607080660</v>
      </c>
      <c r="N1794" s="24" t="s">
        <v>5302</v>
      </c>
      <c r="O1794" s="1" t="str">
        <f>"652201197607080660"</f>
        <v>652201197607080660</v>
      </c>
      <c r="P1794" s="23" t="s">
        <v>5303</v>
      </c>
      <c r="Q1794" s="23">
        <v>45099</v>
      </c>
      <c r="R1794" s="32">
        <v>45465</v>
      </c>
      <c r="V1794" s="33">
        <v>50</v>
      </c>
      <c r="W1794" s="28">
        <v>64.29</v>
      </c>
      <c r="X1794" s="34" t="s">
        <v>54</v>
      </c>
      <c r="Y1794" s="33">
        <v>32.15</v>
      </c>
      <c r="AC1794" s="28">
        <v>64.29</v>
      </c>
      <c r="AD1794" s="34" t="s">
        <v>54</v>
      </c>
      <c r="AE1794" s="33">
        <v>32.15</v>
      </c>
      <c r="AN1794" s="7" t="s">
        <v>54</v>
      </c>
      <c r="AO1794" s="7" t="s">
        <v>55</v>
      </c>
      <c r="AP1794" s="7" t="s">
        <v>56</v>
      </c>
      <c r="AT1794" s="47" t="s">
        <v>57</v>
      </c>
      <c r="AU1794" s="47" t="s">
        <v>57</v>
      </c>
    </row>
    <row r="1795" spans="1:47">
      <c r="A1795" s="4" t="s">
        <v>48</v>
      </c>
      <c r="C1795" s="21"/>
      <c r="D1795" s="22" t="s">
        <v>49</v>
      </c>
      <c r="G1795" s="23">
        <v>45102</v>
      </c>
      <c r="H1795" s="24" t="s">
        <v>5304</v>
      </c>
      <c r="J1795" s="28" t="s">
        <v>51</v>
      </c>
      <c r="L1795" s="24" t="s">
        <v>5305</v>
      </c>
      <c r="M1795" s="1" t="str">
        <f>"220283198301026845"</f>
        <v>220283198301026845</v>
      </c>
      <c r="N1795" s="24" t="s">
        <v>5305</v>
      </c>
      <c r="O1795" s="1" t="str">
        <f>"220283198301026845"</f>
        <v>220283198301026845</v>
      </c>
      <c r="P1795" s="23" t="s">
        <v>5306</v>
      </c>
      <c r="Q1795" s="23">
        <v>45103</v>
      </c>
      <c r="R1795" s="32">
        <v>45469</v>
      </c>
      <c r="V1795" s="33">
        <v>100</v>
      </c>
      <c r="W1795" s="28">
        <v>64.29</v>
      </c>
      <c r="X1795" s="34" t="s">
        <v>54</v>
      </c>
      <c r="Y1795" s="33">
        <v>64.29</v>
      </c>
      <c r="AC1795" s="28">
        <v>64.29</v>
      </c>
      <c r="AD1795" s="34" t="s">
        <v>54</v>
      </c>
      <c r="AE1795" s="33">
        <v>64.29</v>
      </c>
      <c r="AN1795" s="7" t="s">
        <v>54</v>
      </c>
      <c r="AO1795" s="7" t="s">
        <v>55</v>
      </c>
      <c r="AP1795" s="7" t="s">
        <v>56</v>
      </c>
      <c r="AT1795" s="47" t="s">
        <v>57</v>
      </c>
      <c r="AU1795" s="47" t="s">
        <v>57</v>
      </c>
    </row>
    <row r="1796" spans="1:47">
      <c r="A1796" s="4" t="s">
        <v>48</v>
      </c>
      <c r="C1796" s="21"/>
      <c r="D1796" s="22" t="s">
        <v>49</v>
      </c>
      <c r="G1796" s="23">
        <v>45100</v>
      </c>
      <c r="H1796" s="24" t="s">
        <v>5307</v>
      </c>
      <c r="J1796" s="28" t="s">
        <v>51</v>
      </c>
      <c r="L1796" s="24" t="s">
        <v>5308</v>
      </c>
      <c r="M1796" s="1" t="str">
        <f>"350301198909281457"</f>
        <v>350301198909281457</v>
      </c>
      <c r="N1796" s="24" t="s">
        <v>5308</v>
      </c>
      <c r="O1796" s="1" t="str">
        <f>"350301198909281457"</f>
        <v>350301198909281457</v>
      </c>
      <c r="P1796" s="23" t="s">
        <v>5309</v>
      </c>
      <c r="Q1796" s="23">
        <v>45101</v>
      </c>
      <c r="R1796" s="32">
        <v>45467</v>
      </c>
      <c r="V1796" s="33">
        <v>100</v>
      </c>
      <c r="W1796" s="28">
        <v>64.29</v>
      </c>
      <c r="X1796" s="34" t="s">
        <v>54</v>
      </c>
      <c r="Y1796" s="33">
        <v>64.29</v>
      </c>
      <c r="AC1796" s="28">
        <v>64.29</v>
      </c>
      <c r="AD1796" s="34" t="s">
        <v>54</v>
      </c>
      <c r="AE1796" s="33">
        <v>64.29</v>
      </c>
      <c r="AN1796" s="7" t="s">
        <v>54</v>
      </c>
      <c r="AO1796" s="7" t="s">
        <v>55</v>
      </c>
      <c r="AP1796" s="7" t="s">
        <v>56</v>
      </c>
      <c r="AT1796" s="47" t="s">
        <v>57</v>
      </c>
      <c r="AU1796" s="47" t="s">
        <v>57</v>
      </c>
    </row>
    <row r="1797" spans="1:47">
      <c r="A1797" s="4" t="s">
        <v>48</v>
      </c>
      <c r="C1797" s="21"/>
      <c r="D1797" s="22" t="s">
        <v>49</v>
      </c>
      <c r="G1797" s="23">
        <v>45089</v>
      </c>
      <c r="H1797" s="24" t="s">
        <v>5310</v>
      </c>
      <c r="J1797" s="28" t="s">
        <v>51</v>
      </c>
      <c r="L1797" s="24" t="s">
        <v>5311</v>
      </c>
      <c r="M1797" s="1" t="str">
        <f>"131082197006232926"</f>
        <v>131082197006232926</v>
      </c>
      <c r="N1797" s="24" t="s">
        <v>5311</v>
      </c>
      <c r="O1797" s="1" t="str">
        <f>"131082197006232926"</f>
        <v>131082197006232926</v>
      </c>
      <c r="P1797" s="23" t="s">
        <v>5312</v>
      </c>
      <c r="Q1797" s="23">
        <v>45090</v>
      </c>
      <c r="R1797" s="32">
        <v>45456</v>
      </c>
      <c r="V1797" s="33">
        <v>100</v>
      </c>
      <c r="W1797" s="28">
        <v>64.29</v>
      </c>
      <c r="X1797" s="34" t="s">
        <v>54</v>
      </c>
      <c r="Y1797" s="33">
        <v>64.29</v>
      </c>
      <c r="AC1797" s="28">
        <v>64.29</v>
      </c>
      <c r="AD1797" s="34" t="s">
        <v>54</v>
      </c>
      <c r="AE1797" s="33">
        <v>64.29</v>
      </c>
      <c r="AN1797" s="7" t="s">
        <v>54</v>
      </c>
      <c r="AO1797" s="7" t="s">
        <v>55</v>
      </c>
      <c r="AP1797" s="7" t="s">
        <v>56</v>
      </c>
      <c r="AT1797" s="47" t="s">
        <v>57</v>
      </c>
      <c r="AU1797" s="47" t="s">
        <v>57</v>
      </c>
    </row>
    <row r="1798" spans="1:47">
      <c r="A1798" s="4" t="s">
        <v>48</v>
      </c>
      <c r="C1798" s="21"/>
      <c r="D1798" s="22" t="s">
        <v>49</v>
      </c>
      <c r="G1798" s="23">
        <v>45089</v>
      </c>
      <c r="H1798" s="24" t="s">
        <v>5313</v>
      </c>
      <c r="J1798" s="28" t="s">
        <v>51</v>
      </c>
      <c r="L1798" s="24" t="s">
        <v>5314</v>
      </c>
      <c r="M1798" s="1" t="str">
        <f>"230621197111252112"</f>
        <v>230621197111252112</v>
      </c>
      <c r="N1798" s="24" t="s">
        <v>5314</v>
      </c>
      <c r="O1798" s="1" t="str">
        <f>"230621197111252112"</f>
        <v>230621197111252112</v>
      </c>
      <c r="P1798" s="23" t="s">
        <v>5315</v>
      </c>
      <c r="Q1798" s="23">
        <v>45200</v>
      </c>
      <c r="R1798" s="32">
        <v>45566</v>
      </c>
      <c r="V1798" s="33">
        <v>100</v>
      </c>
      <c r="W1798" s="28">
        <v>64.29</v>
      </c>
      <c r="X1798" s="34" t="s">
        <v>54</v>
      </c>
      <c r="Y1798" s="33">
        <v>64.29</v>
      </c>
      <c r="AC1798" s="28">
        <v>64.29</v>
      </c>
      <c r="AD1798" s="34" t="s">
        <v>54</v>
      </c>
      <c r="AE1798" s="33">
        <v>64.29</v>
      </c>
      <c r="AN1798" s="7" t="s">
        <v>54</v>
      </c>
      <c r="AO1798" s="7" t="s">
        <v>55</v>
      </c>
      <c r="AP1798" s="7" t="s">
        <v>56</v>
      </c>
      <c r="AT1798" s="47" t="s">
        <v>57</v>
      </c>
      <c r="AU1798" s="47" t="s">
        <v>57</v>
      </c>
    </row>
    <row r="1799" spans="1:47">
      <c r="A1799" s="4" t="s">
        <v>48</v>
      </c>
      <c r="C1799" s="21"/>
      <c r="D1799" s="22" t="s">
        <v>49</v>
      </c>
      <c r="G1799" s="23">
        <v>45089</v>
      </c>
      <c r="H1799" s="24" t="s">
        <v>5316</v>
      </c>
      <c r="J1799" s="28" t="s">
        <v>51</v>
      </c>
      <c r="L1799" s="24" t="s">
        <v>5317</v>
      </c>
      <c r="M1799" s="1" t="str">
        <f>"11010819540920635X"</f>
        <v>11010819540920635X</v>
      </c>
      <c r="N1799" s="24" t="s">
        <v>5317</v>
      </c>
      <c r="O1799" s="1" t="str">
        <f>"11010819540920635X"</f>
        <v>11010819540920635X</v>
      </c>
      <c r="P1799" s="23" t="s">
        <v>5318</v>
      </c>
      <c r="Q1799" s="23">
        <v>45090</v>
      </c>
      <c r="R1799" s="32">
        <v>45456</v>
      </c>
      <c r="V1799" s="33">
        <v>100</v>
      </c>
      <c r="W1799" s="28">
        <v>64.29</v>
      </c>
      <c r="X1799" s="34" t="s">
        <v>54</v>
      </c>
      <c r="Y1799" s="33">
        <v>64.29</v>
      </c>
      <c r="AC1799" s="28">
        <v>64.29</v>
      </c>
      <c r="AD1799" s="34" t="s">
        <v>54</v>
      </c>
      <c r="AE1799" s="33">
        <v>64.29</v>
      </c>
      <c r="AN1799" s="7" t="s">
        <v>54</v>
      </c>
      <c r="AO1799" s="7" t="s">
        <v>55</v>
      </c>
      <c r="AP1799" s="7" t="s">
        <v>56</v>
      </c>
      <c r="AT1799" s="47" t="s">
        <v>57</v>
      </c>
      <c r="AU1799" s="47" t="s">
        <v>57</v>
      </c>
    </row>
    <row r="1800" spans="1:47">
      <c r="A1800" s="4" t="s">
        <v>48</v>
      </c>
      <c r="C1800" s="21"/>
      <c r="D1800" s="22" t="s">
        <v>49</v>
      </c>
      <c r="G1800" s="23">
        <v>45090</v>
      </c>
      <c r="H1800" s="24" t="s">
        <v>5319</v>
      </c>
      <c r="J1800" s="28" t="s">
        <v>51</v>
      </c>
      <c r="L1800" s="24" t="s">
        <v>5320</v>
      </c>
      <c r="M1800" s="1" t="str">
        <f>"131026198908240320"</f>
        <v>131026198908240320</v>
      </c>
      <c r="N1800" s="24" t="s">
        <v>5320</v>
      </c>
      <c r="O1800" s="1" t="str">
        <f>"131026198908240320"</f>
        <v>131026198908240320</v>
      </c>
      <c r="P1800" s="23" t="s">
        <v>5321</v>
      </c>
      <c r="Q1800" s="23">
        <v>45091</v>
      </c>
      <c r="R1800" s="32">
        <v>45457</v>
      </c>
      <c r="V1800" s="33">
        <v>100</v>
      </c>
      <c r="W1800" s="28">
        <v>64.29</v>
      </c>
      <c r="X1800" s="34" t="s">
        <v>54</v>
      </c>
      <c r="Y1800" s="33">
        <v>64.29</v>
      </c>
      <c r="AC1800" s="28">
        <v>64.29</v>
      </c>
      <c r="AD1800" s="34" t="s">
        <v>54</v>
      </c>
      <c r="AE1800" s="33">
        <v>64.29</v>
      </c>
      <c r="AN1800" s="7" t="s">
        <v>54</v>
      </c>
      <c r="AO1800" s="7" t="s">
        <v>55</v>
      </c>
      <c r="AP1800" s="7" t="s">
        <v>56</v>
      </c>
      <c r="AT1800" s="47" t="s">
        <v>57</v>
      </c>
      <c r="AU1800" s="47" t="s">
        <v>57</v>
      </c>
    </row>
    <row r="1801" spans="1:47">
      <c r="A1801" s="4" t="s">
        <v>48</v>
      </c>
      <c r="C1801" s="21"/>
      <c r="D1801" s="22" t="s">
        <v>49</v>
      </c>
      <c r="G1801" s="23">
        <v>45077</v>
      </c>
      <c r="H1801" s="24" t="s">
        <v>5322</v>
      </c>
      <c r="J1801" s="28" t="s">
        <v>51</v>
      </c>
      <c r="L1801" s="24" t="s">
        <v>5323</v>
      </c>
      <c r="M1801" s="1" t="str">
        <f>"131082198701122520"</f>
        <v>131082198701122520</v>
      </c>
      <c r="N1801" s="24" t="s">
        <v>5323</v>
      </c>
      <c r="O1801" s="1" t="str">
        <f>"131082198701122520"</f>
        <v>131082198701122520</v>
      </c>
      <c r="P1801" s="23" t="s">
        <v>5324</v>
      </c>
      <c r="Q1801" s="23">
        <v>45200</v>
      </c>
      <c r="R1801" s="32">
        <v>45566</v>
      </c>
      <c r="V1801" s="33">
        <v>100</v>
      </c>
      <c r="W1801" s="28">
        <v>64.29</v>
      </c>
      <c r="X1801" s="34" t="s">
        <v>54</v>
      </c>
      <c r="Y1801" s="33">
        <v>64.29</v>
      </c>
      <c r="AC1801" s="28">
        <v>64.29</v>
      </c>
      <c r="AD1801" s="34" t="s">
        <v>54</v>
      </c>
      <c r="AE1801" s="33">
        <v>64.29</v>
      </c>
      <c r="AN1801" s="7" t="s">
        <v>54</v>
      </c>
      <c r="AO1801" s="7" t="s">
        <v>55</v>
      </c>
      <c r="AP1801" s="7" t="s">
        <v>56</v>
      </c>
      <c r="AT1801" s="47" t="s">
        <v>57</v>
      </c>
      <c r="AU1801" s="47" t="s">
        <v>57</v>
      </c>
    </row>
    <row r="1802" spans="1:47">
      <c r="A1802" s="4" t="s">
        <v>48</v>
      </c>
      <c r="C1802" s="21"/>
      <c r="D1802" s="22" t="s">
        <v>49</v>
      </c>
      <c r="G1802" s="23">
        <v>45076</v>
      </c>
      <c r="H1802" s="24" t="s">
        <v>5325</v>
      </c>
      <c r="J1802" s="28" t="s">
        <v>51</v>
      </c>
      <c r="L1802" s="24" t="s">
        <v>5326</v>
      </c>
      <c r="M1802" s="1" t="str">
        <f>"35030119920210147X"</f>
        <v>35030119920210147X</v>
      </c>
      <c r="N1802" s="24" t="s">
        <v>5326</v>
      </c>
      <c r="O1802" s="1" t="str">
        <f>"35030119920210147X"</f>
        <v>35030119920210147X</v>
      </c>
      <c r="P1802" s="23" t="s">
        <v>5327</v>
      </c>
      <c r="Q1802" s="23">
        <v>45077</v>
      </c>
      <c r="R1802" s="32">
        <v>45443</v>
      </c>
      <c r="V1802" s="33">
        <v>100</v>
      </c>
      <c r="W1802" s="28">
        <v>64.29</v>
      </c>
      <c r="X1802" s="34" t="s">
        <v>54</v>
      </c>
      <c r="Y1802" s="33">
        <v>64.29</v>
      </c>
      <c r="AC1802" s="28">
        <v>64.29</v>
      </c>
      <c r="AD1802" s="34" t="s">
        <v>54</v>
      </c>
      <c r="AE1802" s="33">
        <v>64.29</v>
      </c>
      <c r="AN1802" s="7" t="s">
        <v>54</v>
      </c>
      <c r="AO1802" s="7" t="s">
        <v>55</v>
      </c>
      <c r="AP1802" s="7" t="s">
        <v>56</v>
      </c>
      <c r="AT1802" s="47" t="s">
        <v>57</v>
      </c>
      <c r="AU1802" s="47" t="s">
        <v>57</v>
      </c>
    </row>
    <row r="1803" spans="1:47">
      <c r="A1803" s="4" t="s">
        <v>48</v>
      </c>
      <c r="C1803" s="21"/>
      <c r="D1803" s="22" t="s">
        <v>49</v>
      </c>
      <c r="G1803" s="23">
        <v>45078</v>
      </c>
      <c r="H1803" s="24" t="s">
        <v>5328</v>
      </c>
      <c r="J1803" s="28" t="s">
        <v>51</v>
      </c>
      <c r="L1803" s="24" t="s">
        <v>1612</v>
      </c>
      <c r="M1803" s="1" t="str">
        <f>"342101196205281010"</f>
        <v>342101196205281010</v>
      </c>
      <c r="N1803" s="24" t="s">
        <v>1612</v>
      </c>
      <c r="O1803" s="1" t="str">
        <f>"342101196205281010"</f>
        <v>342101196205281010</v>
      </c>
      <c r="P1803" s="23" t="s">
        <v>5329</v>
      </c>
      <c r="Q1803" s="23">
        <v>45079</v>
      </c>
      <c r="R1803" s="32">
        <v>45445</v>
      </c>
      <c r="V1803" s="33">
        <v>100</v>
      </c>
      <c r="W1803" s="28">
        <v>64.29</v>
      </c>
      <c r="X1803" s="34" t="s">
        <v>54</v>
      </c>
      <c r="Y1803" s="33">
        <v>64.29</v>
      </c>
      <c r="AC1803" s="28">
        <v>64.29</v>
      </c>
      <c r="AD1803" s="34" t="s">
        <v>54</v>
      </c>
      <c r="AE1803" s="33">
        <v>64.29</v>
      </c>
      <c r="AN1803" s="7" t="s">
        <v>54</v>
      </c>
      <c r="AO1803" s="7" t="s">
        <v>55</v>
      </c>
      <c r="AP1803" s="7" t="s">
        <v>56</v>
      </c>
      <c r="AT1803" s="47" t="s">
        <v>57</v>
      </c>
      <c r="AU1803" s="47" t="s">
        <v>57</v>
      </c>
    </row>
    <row r="1804" spans="1:47">
      <c r="A1804" s="4" t="s">
        <v>48</v>
      </c>
      <c r="C1804" s="21"/>
      <c r="D1804" s="22" t="s">
        <v>49</v>
      </c>
      <c r="G1804" s="23">
        <v>45078</v>
      </c>
      <c r="H1804" s="24" t="s">
        <v>5330</v>
      </c>
      <c r="J1804" s="28" t="s">
        <v>51</v>
      </c>
      <c r="L1804" s="24" t="s">
        <v>5331</v>
      </c>
      <c r="M1804" s="1" t="str">
        <f>"341202197001013378"</f>
        <v>341202197001013378</v>
      </c>
      <c r="N1804" s="24" t="s">
        <v>5331</v>
      </c>
      <c r="O1804" s="1" t="str">
        <f>"341202197001013378"</f>
        <v>341202197001013378</v>
      </c>
      <c r="P1804" s="23" t="s">
        <v>5332</v>
      </c>
      <c r="Q1804" s="23">
        <v>45079</v>
      </c>
      <c r="R1804" s="32">
        <v>45445</v>
      </c>
      <c r="V1804" s="33">
        <v>100</v>
      </c>
      <c r="W1804" s="28">
        <v>64.29</v>
      </c>
      <c r="X1804" s="34" t="s">
        <v>54</v>
      </c>
      <c r="Y1804" s="33">
        <v>64.29</v>
      </c>
      <c r="AC1804" s="28">
        <v>64.29</v>
      </c>
      <c r="AD1804" s="34" t="s">
        <v>54</v>
      </c>
      <c r="AE1804" s="33">
        <v>64.29</v>
      </c>
      <c r="AN1804" s="7" t="s">
        <v>54</v>
      </c>
      <c r="AO1804" s="7" t="s">
        <v>55</v>
      </c>
      <c r="AP1804" s="7" t="s">
        <v>56</v>
      </c>
      <c r="AT1804" s="47" t="s">
        <v>57</v>
      </c>
      <c r="AU1804" s="47" t="s">
        <v>57</v>
      </c>
    </row>
    <row r="1805" spans="1:47">
      <c r="A1805" s="4" t="s">
        <v>48</v>
      </c>
      <c r="C1805" s="21"/>
      <c r="D1805" s="22" t="s">
        <v>49</v>
      </c>
      <c r="G1805" s="23">
        <v>45078</v>
      </c>
      <c r="H1805" s="24" t="s">
        <v>5333</v>
      </c>
      <c r="J1805" s="28" t="s">
        <v>51</v>
      </c>
      <c r="L1805" s="24" t="s">
        <v>5334</v>
      </c>
      <c r="M1805" s="1" t="str">
        <f>"342101197005301333"</f>
        <v>342101197005301333</v>
      </c>
      <c r="N1805" s="24" t="s">
        <v>5334</v>
      </c>
      <c r="O1805" s="1" t="str">
        <f>"342101197005301333"</f>
        <v>342101197005301333</v>
      </c>
      <c r="P1805" s="23" t="s">
        <v>5335</v>
      </c>
      <c r="Q1805" s="23">
        <v>45079</v>
      </c>
      <c r="R1805" s="32">
        <v>45445</v>
      </c>
      <c r="V1805" s="33">
        <v>100</v>
      </c>
      <c r="W1805" s="28">
        <v>64.29</v>
      </c>
      <c r="X1805" s="34" t="s">
        <v>54</v>
      </c>
      <c r="Y1805" s="33">
        <v>64.29</v>
      </c>
      <c r="AC1805" s="28">
        <v>64.29</v>
      </c>
      <c r="AD1805" s="34" t="s">
        <v>54</v>
      </c>
      <c r="AE1805" s="33">
        <v>64.29</v>
      </c>
      <c r="AN1805" s="7" t="s">
        <v>54</v>
      </c>
      <c r="AO1805" s="7" t="s">
        <v>55</v>
      </c>
      <c r="AP1805" s="7" t="s">
        <v>56</v>
      </c>
      <c r="AT1805" s="47" t="s">
        <v>57</v>
      </c>
      <c r="AU1805" s="47" t="s">
        <v>57</v>
      </c>
    </row>
    <row r="1806" spans="1:47">
      <c r="A1806" s="4" t="s">
        <v>48</v>
      </c>
      <c r="C1806" s="21"/>
      <c r="D1806" s="22" t="s">
        <v>49</v>
      </c>
      <c r="G1806" s="23">
        <v>45075</v>
      </c>
      <c r="H1806" s="24" t="s">
        <v>5336</v>
      </c>
      <c r="J1806" s="28" t="s">
        <v>51</v>
      </c>
      <c r="L1806" s="24" t="s">
        <v>5337</v>
      </c>
      <c r="M1806" s="1" t="str">
        <f>"132821194909048271"</f>
        <v>132821194909048271</v>
      </c>
      <c r="N1806" s="24" t="s">
        <v>5337</v>
      </c>
      <c r="O1806" s="1" t="str">
        <f>"132821194909048271"</f>
        <v>132821194909048271</v>
      </c>
      <c r="P1806" s="23" t="s">
        <v>5338</v>
      </c>
      <c r="Q1806" s="23">
        <v>45076</v>
      </c>
      <c r="R1806" s="32">
        <v>45442</v>
      </c>
      <c r="V1806" s="33">
        <v>200</v>
      </c>
      <c r="W1806" s="28">
        <v>64.29</v>
      </c>
      <c r="X1806" s="34" t="s">
        <v>54</v>
      </c>
      <c r="Y1806" s="33">
        <v>128.58</v>
      </c>
      <c r="AC1806" s="28">
        <v>64.29</v>
      </c>
      <c r="AD1806" s="34" t="s">
        <v>54</v>
      </c>
      <c r="AE1806" s="33">
        <v>128.58</v>
      </c>
      <c r="AN1806" s="7" t="s">
        <v>54</v>
      </c>
      <c r="AO1806" s="7" t="s">
        <v>55</v>
      </c>
      <c r="AP1806" s="7" t="s">
        <v>56</v>
      </c>
      <c r="AT1806" s="47" t="s">
        <v>57</v>
      </c>
      <c r="AU1806" s="47" t="s">
        <v>57</v>
      </c>
    </row>
    <row r="1807" spans="1:47">
      <c r="A1807" s="4" t="s">
        <v>48</v>
      </c>
      <c r="C1807" s="21"/>
      <c r="D1807" s="22" t="s">
        <v>49</v>
      </c>
      <c r="G1807" s="23">
        <v>45075</v>
      </c>
      <c r="H1807" s="24" t="s">
        <v>5339</v>
      </c>
      <c r="J1807" s="28" t="s">
        <v>51</v>
      </c>
      <c r="L1807" s="24" t="s">
        <v>5340</v>
      </c>
      <c r="M1807" s="1" t="str">
        <f>"341226199604202397"</f>
        <v>341226199604202397</v>
      </c>
      <c r="N1807" s="24" t="s">
        <v>5340</v>
      </c>
      <c r="O1807" s="1" t="str">
        <f>"341226199604202397"</f>
        <v>341226199604202397</v>
      </c>
      <c r="P1807" s="23" t="s">
        <v>5341</v>
      </c>
      <c r="Q1807" s="23">
        <v>45076</v>
      </c>
      <c r="R1807" s="32">
        <v>45442</v>
      </c>
      <c r="V1807" s="33">
        <v>200</v>
      </c>
      <c r="W1807" s="28">
        <v>64.29</v>
      </c>
      <c r="X1807" s="34" t="s">
        <v>54</v>
      </c>
      <c r="Y1807" s="33">
        <v>128.58</v>
      </c>
      <c r="AC1807" s="28">
        <v>64.29</v>
      </c>
      <c r="AD1807" s="34" t="s">
        <v>54</v>
      </c>
      <c r="AE1807" s="33">
        <v>128.58</v>
      </c>
      <c r="AN1807" s="7" t="s">
        <v>54</v>
      </c>
      <c r="AO1807" s="7" t="s">
        <v>55</v>
      </c>
      <c r="AP1807" s="7" t="s">
        <v>56</v>
      </c>
      <c r="AT1807" s="47" t="s">
        <v>57</v>
      </c>
      <c r="AU1807" s="47" t="s">
        <v>57</v>
      </c>
    </row>
    <row r="1808" spans="1:47">
      <c r="A1808" s="4" t="s">
        <v>48</v>
      </c>
      <c r="C1808" s="21"/>
      <c r="D1808" s="22" t="s">
        <v>49</v>
      </c>
      <c r="G1808" s="23">
        <v>45097</v>
      </c>
      <c r="H1808" s="24" t="s">
        <v>5342</v>
      </c>
      <c r="J1808" s="28" t="s">
        <v>51</v>
      </c>
      <c r="L1808" s="24" t="s">
        <v>5343</v>
      </c>
      <c r="M1808" s="1" t="str">
        <f>"371524198608124140"</f>
        <v>371524198608124140</v>
      </c>
      <c r="N1808" s="24" t="s">
        <v>5343</v>
      </c>
      <c r="O1808" s="1" t="str">
        <f>"371524198608124140"</f>
        <v>371524198608124140</v>
      </c>
      <c r="P1808" s="23" t="s">
        <v>5344</v>
      </c>
      <c r="Q1808" s="23">
        <v>45098</v>
      </c>
      <c r="R1808" s="32">
        <v>45464</v>
      </c>
      <c r="V1808" s="33">
        <v>50</v>
      </c>
      <c r="W1808" s="28">
        <v>64.29</v>
      </c>
      <c r="X1808" s="34" t="s">
        <v>54</v>
      </c>
      <c r="Y1808" s="33">
        <v>32.15</v>
      </c>
      <c r="AC1808" s="28">
        <v>64.29</v>
      </c>
      <c r="AD1808" s="34" t="s">
        <v>54</v>
      </c>
      <c r="AE1808" s="33">
        <v>32.15</v>
      </c>
      <c r="AN1808" s="7" t="s">
        <v>54</v>
      </c>
      <c r="AO1808" s="7" t="s">
        <v>55</v>
      </c>
      <c r="AP1808" s="7" t="s">
        <v>56</v>
      </c>
      <c r="AT1808" s="47" t="s">
        <v>57</v>
      </c>
      <c r="AU1808" s="47" t="s">
        <v>57</v>
      </c>
    </row>
    <row r="1809" spans="1:47">
      <c r="A1809" s="4" t="s">
        <v>48</v>
      </c>
      <c r="C1809" s="21"/>
      <c r="D1809" s="22" t="s">
        <v>49</v>
      </c>
      <c r="G1809" s="23">
        <v>45092</v>
      </c>
      <c r="H1809" s="24" t="s">
        <v>5345</v>
      </c>
      <c r="J1809" s="28" t="s">
        <v>51</v>
      </c>
      <c r="L1809" s="24" t="s">
        <v>5346</v>
      </c>
      <c r="M1809" s="1" t="str">
        <f>"110104197412103021"</f>
        <v>110104197412103021</v>
      </c>
      <c r="N1809" s="24" t="s">
        <v>5346</v>
      </c>
      <c r="O1809" s="1" t="str">
        <f>"110104197412103021"</f>
        <v>110104197412103021</v>
      </c>
      <c r="P1809" s="23" t="s">
        <v>5347</v>
      </c>
      <c r="Q1809" s="23">
        <v>45093</v>
      </c>
      <c r="R1809" s="32">
        <v>45459</v>
      </c>
      <c r="V1809" s="33">
        <v>50</v>
      </c>
      <c r="W1809" s="28">
        <v>64.29</v>
      </c>
      <c r="X1809" s="34" t="s">
        <v>54</v>
      </c>
      <c r="Y1809" s="33">
        <v>32.15</v>
      </c>
      <c r="AC1809" s="28">
        <v>64.29</v>
      </c>
      <c r="AD1809" s="34" t="s">
        <v>54</v>
      </c>
      <c r="AE1809" s="33">
        <v>32.15</v>
      </c>
      <c r="AN1809" s="7" t="s">
        <v>54</v>
      </c>
      <c r="AO1809" s="7" t="s">
        <v>55</v>
      </c>
      <c r="AP1809" s="7" t="s">
        <v>56</v>
      </c>
      <c r="AT1809" s="47" t="s">
        <v>57</v>
      </c>
      <c r="AU1809" s="47" t="s">
        <v>57</v>
      </c>
    </row>
    <row r="1810" spans="1:47">
      <c r="A1810" s="4" t="s">
        <v>48</v>
      </c>
      <c r="C1810" s="21"/>
      <c r="D1810" s="22" t="s">
        <v>49</v>
      </c>
      <c r="G1810" s="23">
        <v>45095</v>
      </c>
      <c r="H1810" s="24" t="s">
        <v>5348</v>
      </c>
      <c r="J1810" s="28" t="s">
        <v>51</v>
      </c>
      <c r="L1810" s="24" t="s">
        <v>5349</v>
      </c>
      <c r="M1810" s="1" t="str">
        <f>"132825196302010829"</f>
        <v>132825196302010829</v>
      </c>
      <c r="N1810" s="24" t="s">
        <v>5349</v>
      </c>
      <c r="O1810" s="1" t="str">
        <f>"132825196302010829"</f>
        <v>132825196302010829</v>
      </c>
      <c r="P1810" s="23" t="s">
        <v>5350</v>
      </c>
      <c r="Q1810" s="23">
        <v>45096</v>
      </c>
      <c r="R1810" s="32">
        <v>45462</v>
      </c>
      <c r="V1810" s="33">
        <v>50</v>
      </c>
      <c r="W1810" s="28">
        <v>64.29</v>
      </c>
      <c r="X1810" s="34" t="s">
        <v>54</v>
      </c>
      <c r="Y1810" s="33">
        <v>32.15</v>
      </c>
      <c r="AC1810" s="28">
        <v>64.29</v>
      </c>
      <c r="AD1810" s="34" t="s">
        <v>54</v>
      </c>
      <c r="AE1810" s="33">
        <v>32.15</v>
      </c>
      <c r="AN1810" s="7" t="s">
        <v>54</v>
      </c>
      <c r="AO1810" s="7" t="s">
        <v>55</v>
      </c>
      <c r="AP1810" s="7" t="s">
        <v>56</v>
      </c>
      <c r="AT1810" s="47" t="s">
        <v>57</v>
      </c>
      <c r="AU1810" s="47" t="s">
        <v>57</v>
      </c>
    </row>
    <row r="1811" spans="1:47">
      <c r="A1811" s="4" t="s">
        <v>48</v>
      </c>
      <c r="C1811" s="21"/>
      <c r="D1811" s="22" t="s">
        <v>49</v>
      </c>
      <c r="G1811" s="23">
        <v>45093</v>
      </c>
      <c r="H1811" s="24" t="s">
        <v>5351</v>
      </c>
      <c r="J1811" s="28" t="s">
        <v>51</v>
      </c>
      <c r="L1811" s="24" t="s">
        <v>5352</v>
      </c>
      <c r="M1811" s="1" t="str">
        <f>"132821196311118270"</f>
        <v>132821196311118270</v>
      </c>
      <c r="N1811" s="24" t="s">
        <v>5352</v>
      </c>
      <c r="O1811" s="1" t="str">
        <f>"132821196311118270"</f>
        <v>132821196311118270</v>
      </c>
      <c r="P1811" s="23" t="s">
        <v>5353</v>
      </c>
      <c r="Q1811" s="23">
        <v>45094</v>
      </c>
      <c r="R1811" s="32">
        <v>45460</v>
      </c>
      <c r="V1811" s="33">
        <v>50</v>
      </c>
      <c r="W1811" s="28">
        <v>64.29</v>
      </c>
      <c r="X1811" s="34" t="s">
        <v>54</v>
      </c>
      <c r="Y1811" s="33">
        <v>32.15</v>
      </c>
      <c r="AC1811" s="28">
        <v>64.29</v>
      </c>
      <c r="AD1811" s="34" t="s">
        <v>54</v>
      </c>
      <c r="AE1811" s="33">
        <v>32.15</v>
      </c>
      <c r="AN1811" s="7" t="s">
        <v>54</v>
      </c>
      <c r="AO1811" s="7" t="s">
        <v>55</v>
      </c>
      <c r="AP1811" s="7" t="s">
        <v>56</v>
      </c>
      <c r="AT1811" s="47" t="s">
        <v>57</v>
      </c>
      <c r="AU1811" s="47" t="s">
        <v>57</v>
      </c>
    </row>
    <row r="1812" spans="1:47">
      <c r="A1812" s="4" t="s">
        <v>48</v>
      </c>
      <c r="C1812" s="21"/>
      <c r="D1812" s="22" t="s">
        <v>49</v>
      </c>
      <c r="G1812" s="23">
        <v>45102</v>
      </c>
      <c r="H1812" s="24" t="s">
        <v>5354</v>
      </c>
      <c r="J1812" s="28" t="s">
        <v>51</v>
      </c>
      <c r="L1812" s="24" t="s">
        <v>5355</v>
      </c>
      <c r="M1812" s="1" t="str">
        <f>"341221199004155468"</f>
        <v>341221199004155468</v>
      </c>
      <c r="N1812" s="24" t="s">
        <v>5355</v>
      </c>
      <c r="O1812" s="1" t="str">
        <f>"341221199004155468"</f>
        <v>341221199004155468</v>
      </c>
      <c r="P1812" s="23" t="s">
        <v>5356</v>
      </c>
      <c r="Q1812" s="23">
        <v>45103</v>
      </c>
      <c r="R1812" s="32">
        <v>45469</v>
      </c>
      <c r="V1812" s="33">
        <v>100</v>
      </c>
      <c r="W1812" s="28">
        <v>64.29</v>
      </c>
      <c r="X1812" s="34" t="s">
        <v>54</v>
      </c>
      <c r="Y1812" s="33">
        <v>64.29</v>
      </c>
      <c r="AC1812" s="28">
        <v>64.29</v>
      </c>
      <c r="AD1812" s="34" t="s">
        <v>54</v>
      </c>
      <c r="AE1812" s="33">
        <v>64.29</v>
      </c>
      <c r="AN1812" s="7" t="s">
        <v>54</v>
      </c>
      <c r="AO1812" s="7" t="s">
        <v>55</v>
      </c>
      <c r="AP1812" s="7" t="s">
        <v>56</v>
      </c>
      <c r="AT1812" s="47" t="s">
        <v>57</v>
      </c>
      <c r="AU1812" s="47" t="s">
        <v>57</v>
      </c>
    </row>
    <row r="1813" spans="1:47">
      <c r="A1813" s="4" t="s">
        <v>48</v>
      </c>
      <c r="C1813" s="21"/>
      <c r="D1813" s="22" t="s">
        <v>49</v>
      </c>
      <c r="G1813" s="23">
        <v>45089</v>
      </c>
      <c r="H1813" s="24" t="s">
        <v>5357</v>
      </c>
      <c r="J1813" s="28" t="s">
        <v>51</v>
      </c>
      <c r="L1813" s="24" t="s">
        <v>5358</v>
      </c>
      <c r="M1813" s="1" t="str">
        <f>"11010219860723041X"</f>
        <v>11010219860723041X</v>
      </c>
      <c r="N1813" s="24" t="s">
        <v>5358</v>
      </c>
      <c r="O1813" s="1" t="str">
        <f>"11010219860723041X"</f>
        <v>11010219860723041X</v>
      </c>
      <c r="P1813" s="23" t="s">
        <v>5359</v>
      </c>
      <c r="Q1813" s="23">
        <v>45138</v>
      </c>
      <c r="R1813" s="32">
        <v>45504</v>
      </c>
      <c r="V1813" s="33">
        <v>100</v>
      </c>
      <c r="W1813" s="28">
        <v>64.29</v>
      </c>
      <c r="X1813" s="34" t="s">
        <v>54</v>
      </c>
      <c r="Y1813" s="33">
        <v>64.29</v>
      </c>
      <c r="AC1813" s="28">
        <v>64.29</v>
      </c>
      <c r="AD1813" s="34" t="s">
        <v>54</v>
      </c>
      <c r="AE1813" s="33">
        <v>64.29</v>
      </c>
      <c r="AN1813" s="7" t="s">
        <v>54</v>
      </c>
      <c r="AO1813" s="7" t="s">
        <v>55</v>
      </c>
      <c r="AP1813" s="7" t="s">
        <v>56</v>
      </c>
      <c r="AT1813" s="47" t="s">
        <v>57</v>
      </c>
      <c r="AU1813" s="47" t="s">
        <v>57</v>
      </c>
    </row>
    <row r="1814" spans="1:47">
      <c r="A1814" s="4" t="s">
        <v>48</v>
      </c>
      <c r="C1814" s="21"/>
      <c r="D1814" s="22" t="s">
        <v>49</v>
      </c>
      <c r="G1814" s="23">
        <v>45090</v>
      </c>
      <c r="H1814" s="24" t="s">
        <v>5360</v>
      </c>
      <c r="J1814" s="28" t="s">
        <v>51</v>
      </c>
      <c r="L1814" s="24" t="s">
        <v>5361</v>
      </c>
      <c r="M1814" s="1" t="str">
        <f>"341225199605250220"</f>
        <v>341225199605250220</v>
      </c>
      <c r="N1814" s="24" t="s">
        <v>5361</v>
      </c>
      <c r="O1814" s="1" t="str">
        <f>"341225199605250220"</f>
        <v>341225199605250220</v>
      </c>
      <c r="P1814" s="23" t="s">
        <v>5362</v>
      </c>
      <c r="Q1814" s="23">
        <v>45138</v>
      </c>
      <c r="R1814" s="32">
        <v>45504</v>
      </c>
      <c r="V1814" s="33">
        <v>100</v>
      </c>
      <c r="W1814" s="28">
        <v>64.29</v>
      </c>
      <c r="X1814" s="34" t="s">
        <v>54</v>
      </c>
      <c r="Y1814" s="33">
        <v>64.29</v>
      </c>
      <c r="AC1814" s="28">
        <v>64.29</v>
      </c>
      <c r="AD1814" s="34" t="s">
        <v>54</v>
      </c>
      <c r="AE1814" s="33">
        <v>64.29</v>
      </c>
      <c r="AN1814" s="7" t="s">
        <v>54</v>
      </c>
      <c r="AO1814" s="7" t="s">
        <v>55</v>
      </c>
      <c r="AP1814" s="7" t="s">
        <v>56</v>
      </c>
      <c r="AT1814" s="47" t="s">
        <v>57</v>
      </c>
      <c r="AU1814" s="47" t="s">
        <v>57</v>
      </c>
    </row>
    <row r="1815" spans="1:47">
      <c r="A1815" s="4" t="s">
        <v>48</v>
      </c>
      <c r="C1815" s="21"/>
      <c r="D1815" s="22" t="s">
        <v>49</v>
      </c>
      <c r="G1815" s="23">
        <v>45090</v>
      </c>
      <c r="H1815" s="24" t="s">
        <v>5363</v>
      </c>
      <c r="J1815" s="28" t="s">
        <v>51</v>
      </c>
      <c r="L1815" s="24" t="s">
        <v>5364</v>
      </c>
      <c r="M1815" s="1" t="str">
        <f>"341202199107073343"</f>
        <v>341202199107073343</v>
      </c>
      <c r="N1815" s="24" t="s">
        <v>5364</v>
      </c>
      <c r="O1815" s="1" t="str">
        <f>"341202199107073343"</f>
        <v>341202199107073343</v>
      </c>
      <c r="P1815" s="23" t="s">
        <v>5365</v>
      </c>
      <c r="Q1815" s="23">
        <v>45091</v>
      </c>
      <c r="R1815" s="32">
        <v>45457</v>
      </c>
      <c r="V1815" s="33">
        <v>100</v>
      </c>
      <c r="W1815" s="28">
        <v>64.29</v>
      </c>
      <c r="X1815" s="34" t="s">
        <v>54</v>
      </c>
      <c r="Y1815" s="33">
        <v>64.29</v>
      </c>
      <c r="AC1815" s="28">
        <v>64.29</v>
      </c>
      <c r="AD1815" s="34" t="s">
        <v>54</v>
      </c>
      <c r="AE1815" s="33">
        <v>64.29</v>
      </c>
      <c r="AN1815" s="7" t="s">
        <v>54</v>
      </c>
      <c r="AO1815" s="7" t="s">
        <v>55</v>
      </c>
      <c r="AP1815" s="7" t="s">
        <v>56</v>
      </c>
      <c r="AT1815" s="47" t="s">
        <v>57</v>
      </c>
      <c r="AU1815" s="47" t="s">
        <v>57</v>
      </c>
    </row>
    <row r="1816" spans="1:47">
      <c r="A1816" s="4" t="s">
        <v>48</v>
      </c>
      <c r="C1816" s="21"/>
      <c r="D1816" s="22" t="s">
        <v>49</v>
      </c>
      <c r="G1816" s="23">
        <v>45090</v>
      </c>
      <c r="H1816" s="24" t="s">
        <v>5366</v>
      </c>
      <c r="J1816" s="28" t="s">
        <v>51</v>
      </c>
      <c r="L1816" s="24" t="s">
        <v>5367</v>
      </c>
      <c r="M1816" s="1" t="str">
        <f>"210504194502160275"</f>
        <v>210504194502160275</v>
      </c>
      <c r="N1816" s="24" t="s">
        <v>5367</v>
      </c>
      <c r="O1816" s="1" t="str">
        <f>"210504194502160275"</f>
        <v>210504194502160275</v>
      </c>
      <c r="P1816" s="23" t="s">
        <v>5368</v>
      </c>
      <c r="Q1816" s="23">
        <v>45170</v>
      </c>
      <c r="R1816" s="32">
        <v>45536</v>
      </c>
      <c r="V1816" s="33">
        <v>100</v>
      </c>
      <c r="W1816" s="28">
        <v>64.29</v>
      </c>
      <c r="X1816" s="34" t="s">
        <v>54</v>
      </c>
      <c r="Y1816" s="33">
        <v>64.29</v>
      </c>
      <c r="AC1816" s="28">
        <v>64.29</v>
      </c>
      <c r="AD1816" s="34" t="s">
        <v>54</v>
      </c>
      <c r="AE1816" s="33">
        <v>64.29</v>
      </c>
      <c r="AN1816" s="7" t="s">
        <v>54</v>
      </c>
      <c r="AO1816" s="7" t="s">
        <v>55</v>
      </c>
      <c r="AP1816" s="7" t="s">
        <v>56</v>
      </c>
      <c r="AT1816" s="47" t="s">
        <v>57</v>
      </c>
      <c r="AU1816" s="47" t="s">
        <v>57</v>
      </c>
    </row>
    <row r="1817" spans="1:47">
      <c r="A1817" s="4" t="s">
        <v>48</v>
      </c>
      <c r="C1817" s="21"/>
      <c r="D1817" s="22" t="s">
        <v>49</v>
      </c>
      <c r="G1817" s="23">
        <v>45090</v>
      </c>
      <c r="H1817" s="24" t="s">
        <v>5369</v>
      </c>
      <c r="J1817" s="28" t="s">
        <v>51</v>
      </c>
      <c r="L1817" s="24" t="s">
        <v>5370</v>
      </c>
      <c r="M1817" s="1" t="str">
        <f>"342127195703020023"</f>
        <v>342127195703020023</v>
      </c>
      <c r="N1817" s="24" t="s">
        <v>5370</v>
      </c>
      <c r="O1817" s="1" t="str">
        <f>"342127195703020023"</f>
        <v>342127195703020023</v>
      </c>
      <c r="P1817" s="23" t="s">
        <v>5371</v>
      </c>
      <c r="Q1817" s="23">
        <v>45091</v>
      </c>
      <c r="R1817" s="32">
        <v>45457</v>
      </c>
      <c r="V1817" s="33">
        <v>100</v>
      </c>
      <c r="W1817" s="28">
        <v>64.29</v>
      </c>
      <c r="X1817" s="34" t="s">
        <v>54</v>
      </c>
      <c r="Y1817" s="33">
        <v>64.29</v>
      </c>
      <c r="AC1817" s="28">
        <v>64.29</v>
      </c>
      <c r="AD1817" s="34" t="s">
        <v>54</v>
      </c>
      <c r="AE1817" s="33">
        <v>64.29</v>
      </c>
      <c r="AN1817" s="7" t="s">
        <v>54</v>
      </c>
      <c r="AO1817" s="7" t="s">
        <v>55</v>
      </c>
      <c r="AP1817" s="7" t="s">
        <v>56</v>
      </c>
      <c r="AT1817" s="47" t="s">
        <v>57</v>
      </c>
      <c r="AU1817" s="47" t="s">
        <v>57</v>
      </c>
    </row>
    <row r="1818" spans="1:47">
      <c r="A1818" s="4" t="s">
        <v>48</v>
      </c>
      <c r="C1818" s="21"/>
      <c r="D1818" s="22" t="s">
        <v>49</v>
      </c>
      <c r="G1818" s="23">
        <v>45078</v>
      </c>
      <c r="H1818" s="24" t="s">
        <v>5372</v>
      </c>
      <c r="J1818" s="28" t="s">
        <v>51</v>
      </c>
      <c r="L1818" s="24" t="s">
        <v>5373</v>
      </c>
      <c r="M1818" s="1" t="str">
        <f>"341227198610184422"</f>
        <v>341227198610184422</v>
      </c>
      <c r="N1818" s="24" t="s">
        <v>5373</v>
      </c>
      <c r="O1818" s="1" t="str">
        <f>"341227198610184422"</f>
        <v>341227198610184422</v>
      </c>
      <c r="P1818" s="23" t="s">
        <v>5374</v>
      </c>
      <c r="Q1818" s="23">
        <v>45079</v>
      </c>
      <c r="R1818" s="32">
        <v>45445</v>
      </c>
      <c r="V1818" s="33">
        <v>100</v>
      </c>
      <c r="W1818" s="28">
        <v>64.29</v>
      </c>
      <c r="X1818" s="34" t="s">
        <v>54</v>
      </c>
      <c r="Y1818" s="33">
        <v>64.29</v>
      </c>
      <c r="AC1818" s="28">
        <v>64.29</v>
      </c>
      <c r="AD1818" s="34" t="s">
        <v>54</v>
      </c>
      <c r="AE1818" s="33">
        <v>64.29</v>
      </c>
      <c r="AN1818" s="7" t="s">
        <v>54</v>
      </c>
      <c r="AO1818" s="7" t="s">
        <v>55</v>
      </c>
      <c r="AP1818" s="7" t="s">
        <v>56</v>
      </c>
      <c r="AT1818" s="47" t="s">
        <v>57</v>
      </c>
      <c r="AU1818" s="47" t="s">
        <v>57</v>
      </c>
    </row>
    <row r="1819" spans="1:47">
      <c r="A1819" s="4" t="s">
        <v>48</v>
      </c>
      <c r="C1819" s="21"/>
      <c r="D1819" s="22" t="s">
        <v>49</v>
      </c>
      <c r="G1819" s="23">
        <v>45079</v>
      </c>
      <c r="H1819" s="24" t="s">
        <v>5375</v>
      </c>
      <c r="J1819" s="28" t="s">
        <v>51</v>
      </c>
      <c r="L1819" s="24" t="s">
        <v>5376</v>
      </c>
      <c r="M1819" s="1" t="str">
        <f>"34120319850307151X"</f>
        <v>34120319850307151X</v>
      </c>
      <c r="N1819" s="24" t="s">
        <v>5376</v>
      </c>
      <c r="O1819" s="1" t="str">
        <f>"34120319850307151X"</f>
        <v>34120319850307151X</v>
      </c>
      <c r="P1819" s="23" t="s">
        <v>5377</v>
      </c>
      <c r="Q1819" s="23">
        <v>45080</v>
      </c>
      <c r="R1819" s="32">
        <v>45446</v>
      </c>
      <c r="V1819" s="33">
        <v>100</v>
      </c>
      <c r="W1819" s="28">
        <v>64.29</v>
      </c>
      <c r="X1819" s="34" t="s">
        <v>54</v>
      </c>
      <c r="Y1819" s="33">
        <v>64.29</v>
      </c>
      <c r="AC1819" s="28">
        <v>64.29</v>
      </c>
      <c r="AD1819" s="34" t="s">
        <v>54</v>
      </c>
      <c r="AE1819" s="33">
        <v>64.29</v>
      </c>
      <c r="AN1819" s="7" t="s">
        <v>54</v>
      </c>
      <c r="AO1819" s="7" t="s">
        <v>55</v>
      </c>
      <c r="AP1819" s="7" t="s">
        <v>56</v>
      </c>
      <c r="AT1819" s="47" t="s">
        <v>57</v>
      </c>
      <c r="AU1819" s="47" t="s">
        <v>57</v>
      </c>
    </row>
    <row r="1820" spans="1:47">
      <c r="A1820" s="4" t="s">
        <v>48</v>
      </c>
      <c r="C1820" s="21"/>
      <c r="D1820" s="22" t="s">
        <v>49</v>
      </c>
      <c r="G1820" s="23">
        <v>45079</v>
      </c>
      <c r="H1820" s="24" t="s">
        <v>5378</v>
      </c>
      <c r="J1820" s="28" t="s">
        <v>51</v>
      </c>
      <c r="L1820" s="24" t="s">
        <v>5379</v>
      </c>
      <c r="M1820" s="1" t="str">
        <f>"341204197506030889"</f>
        <v>341204197506030889</v>
      </c>
      <c r="N1820" s="24" t="s">
        <v>5379</v>
      </c>
      <c r="O1820" s="1" t="str">
        <f>"341204197506030889"</f>
        <v>341204197506030889</v>
      </c>
      <c r="P1820" s="23" t="s">
        <v>5380</v>
      </c>
      <c r="Q1820" s="23">
        <v>45080</v>
      </c>
      <c r="R1820" s="32">
        <v>45446</v>
      </c>
      <c r="V1820" s="33">
        <v>100</v>
      </c>
      <c r="W1820" s="28">
        <v>64.29</v>
      </c>
      <c r="X1820" s="34" t="s">
        <v>54</v>
      </c>
      <c r="Y1820" s="33">
        <v>64.29</v>
      </c>
      <c r="AC1820" s="28">
        <v>64.29</v>
      </c>
      <c r="AD1820" s="34" t="s">
        <v>54</v>
      </c>
      <c r="AE1820" s="33">
        <v>64.29</v>
      </c>
      <c r="AN1820" s="7" t="s">
        <v>54</v>
      </c>
      <c r="AO1820" s="7" t="s">
        <v>55</v>
      </c>
      <c r="AP1820" s="7" t="s">
        <v>56</v>
      </c>
      <c r="AT1820" s="47" t="s">
        <v>57</v>
      </c>
      <c r="AU1820" s="47" t="s">
        <v>57</v>
      </c>
    </row>
    <row r="1821" spans="1:47">
      <c r="A1821" s="4" t="s">
        <v>48</v>
      </c>
      <c r="C1821" s="21"/>
      <c r="D1821" s="22" t="s">
        <v>49</v>
      </c>
      <c r="G1821" s="23">
        <v>45076</v>
      </c>
      <c r="H1821" s="24" t="s">
        <v>5381</v>
      </c>
      <c r="J1821" s="28" t="s">
        <v>51</v>
      </c>
      <c r="L1821" s="24" t="s">
        <v>5382</v>
      </c>
      <c r="M1821" s="1" t="str">
        <f>"131082195007022913"</f>
        <v>131082195007022913</v>
      </c>
      <c r="N1821" s="24" t="s">
        <v>5382</v>
      </c>
      <c r="O1821" s="1" t="str">
        <f>"131082195007022913"</f>
        <v>131082195007022913</v>
      </c>
      <c r="P1821" s="23" t="s">
        <v>5383</v>
      </c>
      <c r="Q1821" s="23">
        <v>45153</v>
      </c>
      <c r="R1821" s="32">
        <v>45519</v>
      </c>
      <c r="V1821" s="33">
        <v>100</v>
      </c>
      <c r="W1821" s="28">
        <v>64.29</v>
      </c>
      <c r="X1821" s="34" t="s">
        <v>54</v>
      </c>
      <c r="Y1821" s="33">
        <v>64.29</v>
      </c>
      <c r="AC1821" s="28">
        <v>64.29</v>
      </c>
      <c r="AD1821" s="34" t="s">
        <v>54</v>
      </c>
      <c r="AE1821" s="33">
        <v>64.29</v>
      </c>
      <c r="AN1821" s="7" t="s">
        <v>54</v>
      </c>
      <c r="AO1821" s="7" t="s">
        <v>55</v>
      </c>
      <c r="AP1821" s="7" t="s">
        <v>56</v>
      </c>
      <c r="AT1821" s="47" t="s">
        <v>57</v>
      </c>
      <c r="AU1821" s="47" t="s">
        <v>57</v>
      </c>
    </row>
    <row r="1822" spans="1:47">
      <c r="A1822" s="4" t="s">
        <v>48</v>
      </c>
      <c r="C1822" s="21"/>
      <c r="D1822" s="22" t="s">
        <v>49</v>
      </c>
      <c r="G1822" s="23">
        <v>45077</v>
      </c>
      <c r="H1822" s="24" t="s">
        <v>5384</v>
      </c>
      <c r="J1822" s="28" t="s">
        <v>51</v>
      </c>
      <c r="L1822" s="24" t="s">
        <v>5385</v>
      </c>
      <c r="M1822" s="1" t="str">
        <f>"342101195811272224"</f>
        <v>342101195811272224</v>
      </c>
      <c r="N1822" s="24" t="s">
        <v>5385</v>
      </c>
      <c r="O1822" s="1" t="str">
        <f>"342101195811272224"</f>
        <v>342101195811272224</v>
      </c>
      <c r="P1822" s="23" t="s">
        <v>5386</v>
      </c>
      <c r="Q1822" s="23">
        <v>45170</v>
      </c>
      <c r="R1822" s="32">
        <v>45536</v>
      </c>
      <c r="V1822" s="33">
        <v>100</v>
      </c>
      <c r="W1822" s="28">
        <v>64.29</v>
      </c>
      <c r="X1822" s="34" t="s">
        <v>54</v>
      </c>
      <c r="Y1822" s="33">
        <v>64.29</v>
      </c>
      <c r="AC1822" s="28">
        <v>64.29</v>
      </c>
      <c r="AD1822" s="34" t="s">
        <v>54</v>
      </c>
      <c r="AE1822" s="33">
        <v>64.29</v>
      </c>
      <c r="AN1822" s="7" t="s">
        <v>54</v>
      </c>
      <c r="AO1822" s="7" t="s">
        <v>55</v>
      </c>
      <c r="AP1822" s="7" t="s">
        <v>56</v>
      </c>
      <c r="AT1822" s="47" t="s">
        <v>57</v>
      </c>
      <c r="AU1822" s="47" t="s">
        <v>57</v>
      </c>
    </row>
    <row r="1823" spans="1:47">
      <c r="A1823" s="4" t="s">
        <v>48</v>
      </c>
      <c r="C1823" s="21"/>
      <c r="D1823" s="22" t="s">
        <v>49</v>
      </c>
      <c r="G1823" s="23">
        <v>45092</v>
      </c>
      <c r="H1823" s="24" t="s">
        <v>5387</v>
      </c>
      <c r="J1823" s="28" t="s">
        <v>51</v>
      </c>
      <c r="L1823" s="24" t="s">
        <v>5388</v>
      </c>
      <c r="M1823" s="1" t="str">
        <f>"341202196802021947"</f>
        <v>341202196802021947</v>
      </c>
      <c r="N1823" s="24" t="s">
        <v>5388</v>
      </c>
      <c r="O1823" s="1" t="str">
        <f>"341202196802021947"</f>
        <v>341202196802021947</v>
      </c>
      <c r="P1823" s="23" t="s">
        <v>5389</v>
      </c>
      <c r="Q1823" s="23">
        <v>45093</v>
      </c>
      <c r="R1823" s="32">
        <v>45459</v>
      </c>
      <c r="V1823" s="33">
        <v>300</v>
      </c>
      <c r="W1823" s="28">
        <v>64.29</v>
      </c>
      <c r="X1823" s="34" t="s">
        <v>54</v>
      </c>
      <c r="Y1823" s="33">
        <v>192.87</v>
      </c>
      <c r="AC1823" s="28">
        <v>64.29</v>
      </c>
      <c r="AD1823" s="34" t="s">
        <v>54</v>
      </c>
      <c r="AE1823" s="33">
        <v>192.87</v>
      </c>
      <c r="AN1823" s="7" t="s">
        <v>54</v>
      </c>
      <c r="AO1823" s="7" t="s">
        <v>55</v>
      </c>
      <c r="AP1823" s="7" t="s">
        <v>56</v>
      </c>
      <c r="AT1823" s="47" t="s">
        <v>57</v>
      </c>
      <c r="AU1823" s="47" t="s">
        <v>57</v>
      </c>
    </row>
    <row r="1824" spans="1:47">
      <c r="A1824" s="4" t="s">
        <v>48</v>
      </c>
      <c r="C1824" s="21"/>
      <c r="D1824" s="22" t="s">
        <v>49</v>
      </c>
      <c r="G1824" s="23">
        <v>45090</v>
      </c>
      <c r="H1824" s="24" t="s">
        <v>5390</v>
      </c>
      <c r="J1824" s="28" t="s">
        <v>51</v>
      </c>
      <c r="L1824" s="24" t="s">
        <v>5391</v>
      </c>
      <c r="M1824" s="1" t="str">
        <f>"342101195505150632"</f>
        <v>342101195505150632</v>
      </c>
      <c r="N1824" s="24" t="s">
        <v>5391</v>
      </c>
      <c r="O1824" s="1" t="str">
        <f>"342101195505150632"</f>
        <v>342101195505150632</v>
      </c>
      <c r="P1824" s="23" t="s">
        <v>5392</v>
      </c>
      <c r="Q1824" s="23">
        <v>45091</v>
      </c>
      <c r="R1824" s="32">
        <v>45457</v>
      </c>
      <c r="V1824" s="33">
        <v>300</v>
      </c>
      <c r="W1824" s="28">
        <v>64.29</v>
      </c>
      <c r="X1824" s="34" t="s">
        <v>54</v>
      </c>
      <c r="Y1824" s="33">
        <v>192.87</v>
      </c>
      <c r="AC1824" s="28">
        <v>64.29</v>
      </c>
      <c r="AD1824" s="34" t="s">
        <v>54</v>
      </c>
      <c r="AE1824" s="33">
        <v>192.87</v>
      </c>
      <c r="AN1824" s="7" t="s">
        <v>54</v>
      </c>
      <c r="AO1824" s="7" t="s">
        <v>55</v>
      </c>
      <c r="AP1824" s="7" t="s">
        <v>56</v>
      </c>
      <c r="AT1824" s="47" t="s">
        <v>57</v>
      </c>
      <c r="AU1824" s="47" t="s">
        <v>57</v>
      </c>
    </row>
    <row r="1825" spans="1:47">
      <c r="A1825" s="4" t="s">
        <v>48</v>
      </c>
      <c r="C1825" s="21"/>
      <c r="D1825" s="22" t="s">
        <v>49</v>
      </c>
      <c r="G1825" s="23">
        <v>45088</v>
      </c>
      <c r="H1825" s="24" t="s">
        <v>5393</v>
      </c>
      <c r="J1825" s="28" t="s">
        <v>51</v>
      </c>
      <c r="L1825" s="24" t="s">
        <v>5394</v>
      </c>
      <c r="M1825" s="1" t="str">
        <f>"341202196603033312"</f>
        <v>341202196603033312</v>
      </c>
      <c r="N1825" s="24" t="s">
        <v>5394</v>
      </c>
      <c r="O1825" s="1" t="str">
        <f>"341202196603033312"</f>
        <v>341202196603033312</v>
      </c>
      <c r="P1825" s="23" t="s">
        <v>5395</v>
      </c>
      <c r="Q1825" s="23">
        <v>45089</v>
      </c>
      <c r="R1825" s="32">
        <v>45455</v>
      </c>
      <c r="V1825" s="33">
        <v>300</v>
      </c>
      <c r="W1825" s="28">
        <v>64.29</v>
      </c>
      <c r="X1825" s="34" t="s">
        <v>54</v>
      </c>
      <c r="Y1825" s="33">
        <v>192.87</v>
      </c>
      <c r="AC1825" s="28">
        <v>64.29</v>
      </c>
      <c r="AD1825" s="34" t="s">
        <v>54</v>
      </c>
      <c r="AE1825" s="33">
        <v>192.87</v>
      </c>
      <c r="AN1825" s="7" t="s">
        <v>54</v>
      </c>
      <c r="AO1825" s="7" t="s">
        <v>55</v>
      </c>
      <c r="AP1825" s="7" t="s">
        <v>56</v>
      </c>
      <c r="AT1825" s="47" t="s">
        <v>57</v>
      </c>
      <c r="AU1825" s="47" t="s">
        <v>57</v>
      </c>
    </row>
    <row r="1826" spans="1:47">
      <c r="A1826" s="4" t="s">
        <v>48</v>
      </c>
      <c r="C1826" s="21"/>
      <c r="D1826" s="22" t="s">
        <v>49</v>
      </c>
      <c r="G1826" s="23">
        <v>45092</v>
      </c>
      <c r="H1826" s="24" t="s">
        <v>5396</v>
      </c>
      <c r="J1826" s="28" t="s">
        <v>51</v>
      </c>
      <c r="L1826" s="24" t="s">
        <v>5397</v>
      </c>
      <c r="M1826" s="1" t="str">
        <f>"132821195711248280"</f>
        <v>132821195711248280</v>
      </c>
      <c r="N1826" s="24" t="s">
        <v>5397</v>
      </c>
      <c r="O1826" s="1" t="str">
        <f>"132821195711248280"</f>
        <v>132821195711248280</v>
      </c>
      <c r="P1826" s="23" t="s">
        <v>4691</v>
      </c>
      <c r="Q1826" s="23">
        <v>45093</v>
      </c>
      <c r="R1826" s="32">
        <v>45459</v>
      </c>
      <c r="V1826" s="33">
        <v>50</v>
      </c>
      <c r="W1826" s="28">
        <v>64.29</v>
      </c>
      <c r="X1826" s="34" t="s">
        <v>54</v>
      </c>
      <c r="Y1826" s="33">
        <v>32.15</v>
      </c>
      <c r="AC1826" s="28">
        <v>64.29</v>
      </c>
      <c r="AD1826" s="34" t="s">
        <v>54</v>
      </c>
      <c r="AE1826" s="33">
        <v>32.15</v>
      </c>
      <c r="AN1826" s="7" t="s">
        <v>54</v>
      </c>
      <c r="AO1826" s="7" t="s">
        <v>55</v>
      </c>
      <c r="AP1826" s="7" t="s">
        <v>56</v>
      </c>
      <c r="AT1826" s="47" t="s">
        <v>57</v>
      </c>
      <c r="AU1826" s="47" t="s">
        <v>57</v>
      </c>
    </row>
    <row r="1827" spans="1:47">
      <c r="A1827" s="4" t="s">
        <v>48</v>
      </c>
      <c r="C1827" s="21"/>
      <c r="D1827" s="22" t="s">
        <v>49</v>
      </c>
      <c r="G1827" s="23">
        <v>45102</v>
      </c>
      <c r="H1827" s="24" t="s">
        <v>5398</v>
      </c>
      <c r="J1827" s="28" t="s">
        <v>51</v>
      </c>
      <c r="L1827" s="24" t="s">
        <v>5399</v>
      </c>
      <c r="M1827" s="1" t="str">
        <f>"132821195511148285"</f>
        <v>132821195511148285</v>
      </c>
      <c r="N1827" s="24" t="s">
        <v>5399</v>
      </c>
      <c r="O1827" s="1" t="str">
        <f>"132821195511148285"</f>
        <v>132821195511148285</v>
      </c>
      <c r="P1827" s="23" t="s">
        <v>5400</v>
      </c>
      <c r="Q1827" s="23">
        <v>45103</v>
      </c>
      <c r="R1827" s="32">
        <v>45469</v>
      </c>
      <c r="V1827" s="33">
        <v>100</v>
      </c>
      <c r="W1827" s="28">
        <v>64.29</v>
      </c>
      <c r="X1827" s="34" t="s">
        <v>54</v>
      </c>
      <c r="Y1827" s="33">
        <v>64.29</v>
      </c>
      <c r="AC1827" s="28">
        <v>64.29</v>
      </c>
      <c r="AD1827" s="34" t="s">
        <v>54</v>
      </c>
      <c r="AE1827" s="33">
        <v>64.29</v>
      </c>
      <c r="AN1827" s="7" t="s">
        <v>54</v>
      </c>
      <c r="AO1827" s="7" t="s">
        <v>55</v>
      </c>
      <c r="AP1827" s="7" t="s">
        <v>56</v>
      </c>
      <c r="AT1827" s="47" t="s">
        <v>57</v>
      </c>
      <c r="AU1827" s="47" t="s">
        <v>57</v>
      </c>
    </row>
    <row r="1828" spans="1:47">
      <c r="A1828" s="4" t="s">
        <v>48</v>
      </c>
      <c r="C1828" s="21"/>
      <c r="D1828" s="22" t="s">
        <v>49</v>
      </c>
      <c r="G1828" s="23">
        <v>45102</v>
      </c>
      <c r="H1828" s="24" t="s">
        <v>5401</v>
      </c>
      <c r="J1828" s="28" t="s">
        <v>51</v>
      </c>
      <c r="L1828" s="24" t="s">
        <v>5402</v>
      </c>
      <c r="M1828" s="1" t="str">
        <f>"132821195311228272"</f>
        <v>132821195311228272</v>
      </c>
      <c r="N1828" s="24" t="s">
        <v>5402</v>
      </c>
      <c r="O1828" s="1" t="str">
        <f>"132821195311228272"</f>
        <v>132821195311228272</v>
      </c>
      <c r="P1828" s="23" t="s">
        <v>5403</v>
      </c>
      <c r="Q1828" s="23">
        <v>45103</v>
      </c>
      <c r="R1828" s="32">
        <v>45469</v>
      </c>
      <c r="V1828" s="33">
        <v>100</v>
      </c>
      <c r="W1828" s="28">
        <v>64.29</v>
      </c>
      <c r="X1828" s="34" t="s">
        <v>54</v>
      </c>
      <c r="Y1828" s="33">
        <v>64.29</v>
      </c>
      <c r="AC1828" s="28">
        <v>64.29</v>
      </c>
      <c r="AD1828" s="34" t="s">
        <v>54</v>
      </c>
      <c r="AE1828" s="33">
        <v>64.29</v>
      </c>
      <c r="AN1828" s="7" t="s">
        <v>54</v>
      </c>
      <c r="AO1828" s="7" t="s">
        <v>55</v>
      </c>
      <c r="AP1828" s="7" t="s">
        <v>56</v>
      </c>
      <c r="AT1828" s="47" t="s">
        <v>57</v>
      </c>
      <c r="AU1828" s="47" t="s">
        <v>57</v>
      </c>
    </row>
    <row r="1829" spans="1:47">
      <c r="A1829" s="4" t="s">
        <v>48</v>
      </c>
      <c r="C1829" s="21"/>
      <c r="D1829" s="22" t="s">
        <v>49</v>
      </c>
      <c r="G1829" s="23">
        <v>45102</v>
      </c>
      <c r="H1829" s="24" t="s">
        <v>5404</v>
      </c>
      <c r="J1829" s="28" t="s">
        <v>51</v>
      </c>
      <c r="L1829" s="24" t="s">
        <v>5405</v>
      </c>
      <c r="M1829" s="1" t="str">
        <f>"342121197209090414"</f>
        <v>342121197209090414</v>
      </c>
      <c r="N1829" s="24" t="s">
        <v>5405</v>
      </c>
      <c r="O1829" s="1" t="str">
        <f>"342121197209090414"</f>
        <v>342121197209090414</v>
      </c>
      <c r="P1829" s="23" t="s">
        <v>5406</v>
      </c>
      <c r="Q1829" s="23">
        <v>45103</v>
      </c>
      <c r="R1829" s="32">
        <v>45469</v>
      </c>
      <c r="V1829" s="33">
        <v>100</v>
      </c>
      <c r="W1829" s="28">
        <v>64.29</v>
      </c>
      <c r="X1829" s="34" t="s">
        <v>54</v>
      </c>
      <c r="Y1829" s="33">
        <v>64.29</v>
      </c>
      <c r="AC1829" s="28">
        <v>64.29</v>
      </c>
      <c r="AD1829" s="34" t="s">
        <v>54</v>
      </c>
      <c r="AE1829" s="33">
        <v>64.29</v>
      </c>
      <c r="AN1829" s="7" t="s">
        <v>54</v>
      </c>
      <c r="AO1829" s="7" t="s">
        <v>55</v>
      </c>
      <c r="AP1829" s="7" t="s">
        <v>56</v>
      </c>
      <c r="AT1829" s="47" t="s">
        <v>57</v>
      </c>
      <c r="AU1829" s="47" t="s">
        <v>57</v>
      </c>
    </row>
    <row r="1830" spans="1:47">
      <c r="A1830" s="4" t="s">
        <v>48</v>
      </c>
      <c r="C1830" s="21"/>
      <c r="D1830" s="22" t="s">
        <v>49</v>
      </c>
      <c r="G1830" s="23">
        <v>45089</v>
      </c>
      <c r="H1830" s="24" t="s">
        <v>5407</v>
      </c>
      <c r="J1830" s="28" t="s">
        <v>51</v>
      </c>
      <c r="L1830" s="24" t="s">
        <v>5408</v>
      </c>
      <c r="M1830" s="1" t="str">
        <f>"132821195801158270"</f>
        <v>132821195801158270</v>
      </c>
      <c r="N1830" s="24" t="s">
        <v>5408</v>
      </c>
      <c r="O1830" s="1" t="str">
        <f>"132821195801158270"</f>
        <v>132821195801158270</v>
      </c>
      <c r="P1830" s="23" t="s">
        <v>5409</v>
      </c>
      <c r="Q1830" s="23">
        <v>45090</v>
      </c>
      <c r="R1830" s="32">
        <v>45456</v>
      </c>
      <c r="V1830" s="33">
        <v>100</v>
      </c>
      <c r="W1830" s="28">
        <v>64.29</v>
      </c>
      <c r="X1830" s="34" t="s">
        <v>54</v>
      </c>
      <c r="Y1830" s="33">
        <v>64.29</v>
      </c>
      <c r="AC1830" s="28">
        <v>64.29</v>
      </c>
      <c r="AD1830" s="34" t="s">
        <v>54</v>
      </c>
      <c r="AE1830" s="33">
        <v>64.29</v>
      </c>
      <c r="AN1830" s="7" t="s">
        <v>54</v>
      </c>
      <c r="AO1830" s="7" t="s">
        <v>55</v>
      </c>
      <c r="AP1830" s="7" t="s">
        <v>56</v>
      </c>
      <c r="AT1830" s="47" t="s">
        <v>57</v>
      </c>
      <c r="AU1830" s="47" t="s">
        <v>57</v>
      </c>
    </row>
    <row r="1831" spans="1:47">
      <c r="A1831" s="4" t="s">
        <v>48</v>
      </c>
      <c r="C1831" s="21"/>
      <c r="D1831" s="22" t="s">
        <v>49</v>
      </c>
      <c r="G1831" s="23">
        <v>45090</v>
      </c>
      <c r="H1831" s="24" t="s">
        <v>5410</v>
      </c>
      <c r="J1831" s="28" t="s">
        <v>51</v>
      </c>
      <c r="L1831" s="24" t="s">
        <v>5411</v>
      </c>
      <c r="M1831" s="1" t="str">
        <f>"132821196301038306"</f>
        <v>132821196301038306</v>
      </c>
      <c r="N1831" s="24" t="s">
        <v>5411</v>
      </c>
      <c r="O1831" s="1" t="str">
        <f>"132821196301038306"</f>
        <v>132821196301038306</v>
      </c>
      <c r="P1831" s="23" t="s">
        <v>5412</v>
      </c>
      <c r="Q1831" s="23">
        <v>45091</v>
      </c>
      <c r="R1831" s="32">
        <v>45457</v>
      </c>
      <c r="V1831" s="33">
        <v>100</v>
      </c>
      <c r="W1831" s="28">
        <v>64.29</v>
      </c>
      <c r="X1831" s="34" t="s">
        <v>54</v>
      </c>
      <c r="Y1831" s="33">
        <v>64.29</v>
      </c>
      <c r="AC1831" s="28">
        <v>64.29</v>
      </c>
      <c r="AD1831" s="34" t="s">
        <v>54</v>
      </c>
      <c r="AE1831" s="33">
        <v>64.29</v>
      </c>
      <c r="AN1831" s="7" t="s">
        <v>54</v>
      </c>
      <c r="AO1831" s="7" t="s">
        <v>55</v>
      </c>
      <c r="AP1831" s="7" t="s">
        <v>56</v>
      </c>
      <c r="AT1831" s="47" t="s">
        <v>57</v>
      </c>
      <c r="AU1831" s="47" t="s">
        <v>57</v>
      </c>
    </row>
    <row r="1832" spans="1:47">
      <c r="A1832" s="4" t="s">
        <v>48</v>
      </c>
      <c r="C1832" s="21"/>
      <c r="D1832" s="22" t="s">
        <v>49</v>
      </c>
      <c r="G1832" s="23">
        <v>45089</v>
      </c>
      <c r="H1832" s="24" t="s">
        <v>5413</v>
      </c>
      <c r="J1832" s="28" t="s">
        <v>51</v>
      </c>
      <c r="L1832" s="24" t="s">
        <v>5414</v>
      </c>
      <c r="M1832" s="1" t="str">
        <f>"34120219920405358X"</f>
        <v>34120219920405358X</v>
      </c>
      <c r="N1832" s="24" t="s">
        <v>5414</v>
      </c>
      <c r="O1832" s="1" t="str">
        <f>"34120219920405358X"</f>
        <v>34120219920405358X</v>
      </c>
      <c r="P1832" s="23" t="s">
        <v>5415</v>
      </c>
      <c r="Q1832" s="23">
        <v>45090</v>
      </c>
      <c r="R1832" s="32">
        <v>45456</v>
      </c>
      <c r="V1832" s="33">
        <v>100</v>
      </c>
      <c r="W1832" s="28">
        <v>64.29</v>
      </c>
      <c r="X1832" s="34" t="s">
        <v>54</v>
      </c>
      <c r="Y1832" s="33">
        <v>64.29</v>
      </c>
      <c r="AC1832" s="28">
        <v>64.29</v>
      </c>
      <c r="AD1832" s="34" t="s">
        <v>54</v>
      </c>
      <c r="AE1832" s="33">
        <v>64.29</v>
      </c>
      <c r="AN1832" s="7" t="s">
        <v>54</v>
      </c>
      <c r="AO1832" s="7" t="s">
        <v>55</v>
      </c>
      <c r="AP1832" s="7" t="s">
        <v>56</v>
      </c>
      <c r="AT1832" s="47" t="s">
        <v>57</v>
      </c>
      <c r="AU1832" s="47" t="s">
        <v>57</v>
      </c>
    </row>
    <row r="1833" spans="1:47">
      <c r="A1833" s="4" t="s">
        <v>48</v>
      </c>
      <c r="C1833" s="21"/>
      <c r="D1833" s="22" t="s">
        <v>49</v>
      </c>
      <c r="G1833" s="23">
        <v>45090</v>
      </c>
      <c r="H1833" s="24" t="s">
        <v>5416</v>
      </c>
      <c r="J1833" s="28" t="s">
        <v>51</v>
      </c>
      <c r="L1833" s="24" t="s">
        <v>5417</v>
      </c>
      <c r="M1833" s="1" t="str">
        <f>"132821195208168283"</f>
        <v>132821195208168283</v>
      </c>
      <c r="N1833" s="24" t="s">
        <v>5417</v>
      </c>
      <c r="O1833" s="1" t="str">
        <f>"132821195208168283"</f>
        <v>132821195208168283</v>
      </c>
      <c r="P1833" s="23" t="s">
        <v>5418</v>
      </c>
      <c r="Q1833" s="23">
        <v>45091</v>
      </c>
      <c r="R1833" s="32">
        <v>45457</v>
      </c>
      <c r="V1833" s="33">
        <v>100</v>
      </c>
      <c r="W1833" s="28">
        <v>64.29</v>
      </c>
      <c r="X1833" s="34" t="s">
        <v>54</v>
      </c>
      <c r="Y1833" s="33">
        <v>64.29</v>
      </c>
      <c r="AC1833" s="28">
        <v>64.29</v>
      </c>
      <c r="AD1833" s="34" t="s">
        <v>54</v>
      </c>
      <c r="AE1833" s="33">
        <v>64.29</v>
      </c>
      <c r="AN1833" s="7" t="s">
        <v>54</v>
      </c>
      <c r="AO1833" s="7" t="s">
        <v>55</v>
      </c>
      <c r="AP1833" s="7" t="s">
        <v>56</v>
      </c>
      <c r="AT1833" s="47" t="s">
        <v>57</v>
      </c>
      <c r="AU1833" s="47" t="s">
        <v>57</v>
      </c>
    </row>
    <row r="1834" spans="1:47">
      <c r="A1834" s="4" t="s">
        <v>48</v>
      </c>
      <c r="C1834" s="21"/>
      <c r="D1834" s="22" t="s">
        <v>49</v>
      </c>
      <c r="G1834" s="23">
        <v>45090</v>
      </c>
      <c r="H1834" s="24" t="s">
        <v>5419</v>
      </c>
      <c r="J1834" s="28" t="s">
        <v>51</v>
      </c>
      <c r="L1834" s="24" t="s">
        <v>2959</v>
      </c>
      <c r="M1834" s="1" t="str">
        <f>"120222197202115438"</f>
        <v>120222197202115438</v>
      </c>
      <c r="N1834" s="24" t="s">
        <v>2959</v>
      </c>
      <c r="O1834" s="1" t="str">
        <f>"120222197202115438"</f>
        <v>120222197202115438</v>
      </c>
      <c r="P1834" s="23" t="s">
        <v>5420</v>
      </c>
      <c r="Q1834" s="23">
        <v>45190</v>
      </c>
      <c r="R1834" s="32">
        <v>45556</v>
      </c>
      <c r="V1834" s="33">
        <v>100</v>
      </c>
      <c r="W1834" s="28">
        <v>64.29</v>
      </c>
      <c r="X1834" s="34" t="s">
        <v>54</v>
      </c>
      <c r="Y1834" s="33">
        <v>64.29</v>
      </c>
      <c r="AC1834" s="28">
        <v>64.29</v>
      </c>
      <c r="AD1834" s="34" t="s">
        <v>54</v>
      </c>
      <c r="AE1834" s="33">
        <v>64.29</v>
      </c>
      <c r="AN1834" s="7" t="s">
        <v>54</v>
      </c>
      <c r="AO1834" s="7" t="s">
        <v>55</v>
      </c>
      <c r="AP1834" s="7" t="s">
        <v>56</v>
      </c>
      <c r="AT1834" s="47" t="s">
        <v>57</v>
      </c>
      <c r="AU1834" s="47" t="s">
        <v>57</v>
      </c>
    </row>
    <row r="1835" spans="1:47">
      <c r="A1835" s="4" t="s">
        <v>48</v>
      </c>
      <c r="C1835" s="21"/>
      <c r="D1835" s="22" t="s">
        <v>49</v>
      </c>
      <c r="G1835" s="23">
        <v>45089</v>
      </c>
      <c r="H1835" s="24" t="s">
        <v>5421</v>
      </c>
      <c r="J1835" s="28" t="s">
        <v>51</v>
      </c>
      <c r="L1835" s="24" t="s">
        <v>5422</v>
      </c>
      <c r="M1835" s="1" t="str">
        <f>"341204199408220610"</f>
        <v>341204199408220610</v>
      </c>
      <c r="N1835" s="24" t="s">
        <v>5422</v>
      </c>
      <c r="O1835" s="1" t="str">
        <f>"341204199408220610"</f>
        <v>341204199408220610</v>
      </c>
      <c r="P1835" s="23" t="s">
        <v>5423</v>
      </c>
      <c r="Q1835" s="23">
        <v>45090</v>
      </c>
      <c r="R1835" s="32">
        <v>45456</v>
      </c>
      <c r="V1835" s="33">
        <v>100</v>
      </c>
      <c r="W1835" s="28">
        <v>64.29</v>
      </c>
      <c r="X1835" s="34" t="s">
        <v>54</v>
      </c>
      <c r="Y1835" s="33">
        <v>64.29</v>
      </c>
      <c r="AC1835" s="28">
        <v>64.29</v>
      </c>
      <c r="AD1835" s="34" t="s">
        <v>54</v>
      </c>
      <c r="AE1835" s="33">
        <v>64.29</v>
      </c>
      <c r="AN1835" s="7" t="s">
        <v>54</v>
      </c>
      <c r="AO1835" s="7" t="s">
        <v>55</v>
      </c>
      <c r="AP1835" s="7" t="s">
        <v>56</v>
      </c>
      <c r="AT1835" s="47" t="s">
        <v>57</v>
      </c>
      <c r="AU1835" s="47" t="s">
        <v>57</v>
      </c>
    </row>
    <row r="1836" spans="1:47">
      <c r="A1836" s="4" t="s">
        <v>48</v>
      </c>
      <c r="C1836" s="21"/>
      <c r="D1836" s="22" t="s">
        <v>49</v>
      </c>
      <c r="G1836" s="23">
        <v>45077</v>
      </c>
      <c r="H1836" s="24" t="s">
        <v>5424</v>
      </c>
      <c r="J1836" s="28" t="s">
        <v>51</v>
      </c>
      <c r="L1836" s="24" t="s">
        <v>5425</v>
      </c>
      <c r="M1836" s="1" t="str">
        <f>"132821195807128275"</f>
        <v>132821195807128275</v>
      </c>
      <c r="N1836" s="24" t="s">
        <v>5425</v>
      </c>
      <c r="O1836" s="1" t="str">
        <f>"132821195807128275"</f>
        <v>132821195807128275</v>
      </c>
      <c r="P1836" s="23" t="s">
        <v>5426</v>
      </c>
      <c r="Q1836" s="23">
        <v>45170</v>
      </c>
      <c r="R1836" s="32">
        <v>45536</v>
      </c>
      <c r="V1836" s="33">
        <v>100</v>
      </c>
      <c r="W1836" s="28">
        <v>64.29</v>
      </c>
      <c r="X1836" s="34" t="s">
        <v>54</v>
      </c>
      <c r="Y1836" s="33">
        <v>64.29</v>
      </c>
      <c r="AC1836" s="28">
        <v>64.29</v>
      </c>
      <c r="AD1836" s="34" t="s">
        <v>54</v>
      </c>
      <c r="AE1836" s="33">
        <v>64.29</v>
      </c>
      <c r="AN1836" s="7" t="s">
        <v>54</v>
      </c>
      <c r="AO1836" s="7" t="s">
        <v>55</v>
      </c>
      <c r="AP1836" s="7" t="s">
        <v>56</v>
      </c>
      <c r="AT1836" s="47" t="s">
        <v>57</v>
      </c>
      <c r="AU1836" s="47" t="s">
        <v>57</v>
      </c>
    </row>
    <row r="1837" spans="1:47">
      <c r="A1837" s="4" t="s">
        <v>48</v>
      </c>
      <c r="C1837" s="21"/>
      <c r="D1837" s="22" t="s">
        <v>49</v>
      </c>
      <c r="G1837" s="23">
        <v>45077</v>
      </c>
      <c r="H1837" s="24" t="s">
        <v>5427</v>
      </c>
      <c r="J1837" s="28" t="s">
        <v>51</v>
      </c>
      <c r="L1837" s="24" t="s">
        <v>5428</v>
      </c>
      <c r="M1837" s="1" t="str">
        <f>"341221199012056822"</f>
        <v>341221199012056822</v>
      </c>
      <c r="N1837" s="24" t="s">
        <v>5428</v>
      </c>
      <c r="O1837" s="1" t="str">
        <f>"341221199012056822"</f>
        <v>341221199012056822</v>
      </c>
      <c r="P1837" s="23" t="s">
        <v>5429</v>
      </c>
      <c r="Q1837" s="23">
        <v>45078</v>
      </c>
      <c r="R1837" s="32">
        <v>45444</v>
      </c>
      <c r="V1837" s="33">
        <v>100</v>
      </c>
      <c r="W1837" s="28">
        <v>64.29</v>
      </c>
      <c r="X1837" s="34" t="s">
        <v>54</v>
      </c>
      <c r="Y1837" s="33">
        <v>64.29</v>
      </c>
      <c r="AC1837" s="28">
        <v>64.29</v>
      </c>
      <c r="AD1837" s="34" t="s">
        <v>54</v>
      </c>
      <c r="AE1837" s="33">
        <v>64.29</v>
      </c>
      <c r="AN1837" s="7" t="s">
        <v>54</v>
      </c>
      <c r="AO1837" s="7" t="s">
        <v>55</v>
      </c>
      <c r="AP1837" s="7" t="s">
        <v>56</v>
      </c>
      <c r="AT1837" s="47" t="s">
        <v>57</v>
      </c>
      <c r="AU1837" s="47" t="s">
        <v>57</v>
      </c>
    </row>
    <row r="1838" spans="1:47">
      <c r="A1838" s="4" t="s">
        <v>48</v>
      </c>
      <c r="C1838" s="21"/>
      <c r="D1838" s="22" t="s">
        <v>49</v>
      </c>
      <c r="G1838" s="23">
        <v>45078</v>
      </c>
      <c r="H1838" s="24" t="s">
        <v>5430</v>
      </c>
      <c r="J1838" s="28" t="s">
        <v>51</v>
      </c>
      <c r="L1838" s="24" t="s">
        <v>3239</v>
      </c>
      <c r="M1838" s="1" t="str">
        <f>"13108219660310061X"</f>
        <v>13108219660310061X</v>
      </c>
      <c r="N1838" s="24" t="s">
        <v>3239</v>
      </c>
      <c r="O1838" s="1" t="str">
        <f>"13108219660310061X"</f>
        <v>13108219660310061X</v>
      </c>
      <c r="P1838" s="23" t="s">
        <v>5431</v>
      </c>
      <c r="Q1838" s="23">
        <v>45093</v>
      </c>
      <c r="R1838" s="32">
        <v>45459</v>
      </c>
      <c r="V1838" s="33">
        <v>100</v>
      </c>
      <c r="W1838" s="28">
        <v>64.29</v>
      </c>
      <c r="X1838" s="34" t="s">
        <v>54</v>
      </c>
      <c r="Y1838" s="33">
        <v>64.29</v>
      </c>
      <c r="AC1838" s="28">
        <v>64.29</v>
      </c>
      <c r="AD1838" s="34" t="s">
        <v>54</v>
      </c>
      <c r="AE1838" s="33">
        <v>64.29</v>
      </c>
      <c r="AN1838" s="7" t="s">
        <v>54</v>
      </c>
      <c r="AO1838" s="7" t="s">
        <v>55</v>
      </c>
      <c r="AP1838" s="7" t="s">
        <v>56</v>
      </c>
      <c r="AT1838" s="47" t="s">
        <v>57</v>
      </c>
      <c r="AU1838" s="47" t="s">
        <v>57</v>
      </c>
    </row>
    <row r="1839" spans="1:47">
      <c r="A1839" s="4" t="s">
        <v>48</v>
      </c>
      <c r="C1839" s="21"/>
      <c r="D1839" s="22" t="s">
        <v>49</v>
      </c>
      <c r="G1839" s="23">
        <v>45076</v>
      </c>
      <c r="H1839" s="24" t="s">
        <v>5432</v>
      </c>
      <c r="J1839" s="28" t="s">
        <v>51</v>
      </c>
      <c r="L1839" s="24" t="s">
        <v>5433</v>
      </c>
      <c r="M1839" s="1" t="str">
        <f>"372323198812203931"</f>
        <v>372323198812203931</v>
      </c>
      <c r="N1839" s="24" t="s">
        <v>5433</v>
      </c>
      <c r="O1839" s="1" t="str">
        <f>"372323198812203931"</f>
        <v>372323198812203931</v>
      </c>
      <c r="P1839" s="23" t="s">
        <v>5434</v>
      </c>
      <c r="Q1839" s="23">
        <v>45077</v>
      </c>
      <c r="R1839" s="32">
        <v>45443</v>
      </c>
      <c r="V1839" s="33">
        <v>300</v>
      </c>
      <c r="W1839" s="28">
        <v>64.29</v>
      </c>
      <c r="X1839" s="34" t="s">
        <v>54</v>
      </c>
      <c r="Y1839" s="33">
        <v>192.87</v>
      </c>
      <c r="AC1839" s="28">
        <v>64.29</v>
      </c>
      <c r="AD1839" s="34" t="s">
        <v>54</v>
      </c>
      <c r="AE1839" s="33">
        <v>192.87</v>
      </c>
      <c r="AN1839" s="7" t="s">
        <v>54</v>
      </c>
      <c r="AO1839" s="7" t="s">
        <v>55</v>
      </c>
      <c r="AP1839" s="7" t="s">
        <v>56</v>
      </c>
      <c r="AT1839" s="47" t="s">
        <v>57</v>
      </c>
      <c r="AU1839" s="47" t="s">
        <v>57</v>
      </c>
    </row>
    <row r="1840" spans="1:47">
      <c r="A1840" s="4" t="s">
        <v>48</v>
      </c>
      <c r="C1840" s="21"/>
      <c r="D1840" s="22" t="s">
        <v>49</v>
      </c>
      <c r="G1840" s="23">
        <v>45076</v>
      </c>
      <c r="H1840" s="24" t="s">
        <v>5435</v>
      </c>
      <c r="J1840" s="28" t="s">
        <v>51</v>
      </c>
      <c r="L1840" s="24" t="s">
        <v>3823</v>
      </c>
      <c r="M1840" s="1" t="str">
        <f>"13108219660310061X"</f>
        <v>13108219660310061X</v>
      </c>
      <c r="N1840" s="24" t="s">
        <v>3823</v>
      </c>
      <c r="O1840" s="1" t="str">
        <f>"13108219660310061X"</f>
        <v>13108219660310061X</v>
      </c>
      <c r="P1840" s="23" t="s">
        <v>5431</v>
      </c>
      <c r="Q1840" s="23">
        <v>45077</v>
      </c>
      <c r="R1840" s="32">
        <v>45443</v>
      </c>
      <c r="V1840" s="33">
        <v>300</v>
      </c>
      <c r="W1840" s="28">
        <v>64.29</v>
      </c>
      <c r="X1840" s="34" t="s">
        <v>54</v>
      </c>
      <c r="Y1840" s="33">
        <v>192.87</v>
      </c>
      <c r="AC1840" s="28">
        <v>64.29</v>
      </c>
      <c r="AD1840" s="34" t="s">
        <v>54</v>
      </c>
      <c r="AE1840" s="33">
        <v>192.87</v>
      </c>
      <c r="AN1840" s="7" t="s">
        <v>54</v>
      </c>
      <c r="AO1840" s="7" t="s">
        <v>55</v>
      </c>
      <c r="AP1840" s="7" t="s">
        <v>56</v>
      </c>
      <c r="AT1840" s="47" t="s">
        <v>57</v>
      </c>
      <c r="AU1840" s="47" t="s">
        <v>57</v>
      </c>
    </row>
    <row r="1841" spans="1:47">
      <c r="A1841" s="4" t="s">
        <v>48</v>
      </c>
      <c r="C1841" s="21"/>
      <c r="D1841" s="22" t="s">
        <v>49</v>
      </c>
      <c r="G1841" s="23">
        <v>45090</v>
      </c>
      <c r="H1841" s="24" t="s">
        <v>5436</v>
      </c>
      <c r="J1841" s="28" t="s">
        <v>51</v>
      </c>
      <c r="L1841" s="24" t="s">
        <v>5437</v>
      </c>
      <c r="M1841" s="1" t="str">
        <f>"341204198610231415"</f>
        <v>341204198610231415</v>
      </c>
      <c r="N1841" s="24" t="s">
        <v>5437</v>
      </c>
      <c r="O1841" s="1" t="str">
        <f>"341204198610231415"</f>
        <v>341204198610231415</v>
      </c>
      <c r="P1841" s="23" t="s">
        <v>5438</v>
      </c>
      <c r="Q1841" s="23">
        <v>45091</v>
      </c>
      <c r="R1841" s="32">
        <v>45457</v>
      </c>
      <c r="V1841" s="33">
        <v>50</v>
      </c>
      <c r="W1841" s="28">
        <v>64.29</v>
      </c>
      <c r="X1841" s="34" t="s">
        <v>54</v>
      </c>
      <c r="Y1841" s="33">
        <v>32.15</v>
      </c>
      <c r="AC1841" s="28">
        <v>64.29</v>
      </c>
      <c r="AD1841" s="34" t="s">
        <v>54</v>
      </c>
      <c r="AE1841" s="33">
        <v>32.15</v>
      </c>
      <c r="AN1841" s="7" t="s">
        <v>54</v>
      </c>
      <c r="AO1841" s="7" t="s">
        <v>55</v>
      </c>
      <c r="AP1841" s="7" t="s">
        <v>56</v>
      </c>
      <c r="AT1841" s="47" t="s">
        <v>57</v>
      </c>
      <c r="AU1841" s="47" t="s">
        <v>57</v>
      </c>
    </row>
    <row r="1842" spans="1:47">
      <c r="A1842" s="4" t="s">
        <v>48</v>
      </c>
      <c r="C1842" s="21"/>
      <c r="D1842" s="22" t="s">
        <v>49</v>
      </c>
      <c r="G1842" s="23">
        <v>45090</v>
      </c>
      <c r="H1842" s="24" t="s">
        <v>5439</v>
      </c>
      <c r="J1842" s="28" t="s">
        <v>51</v>
      </c>
      <c r="L1842" s="24" t="s">
        <v>5440</v>
      </c>
      <c r="M1842" s="1" t="str">
        <f>"132821194511040528"</f>
        <v>132821194511040528</v>
      </c>
      <c r="N1842" s="24" t="s">
        <v>5440</v>
      </c>
      <c r="O1842" s="1" t="str">
        <f>"132821194511040528"</f>
        <v>132821194511040528</v>
      </c>
      <c r="P1842" s="23" t="s">
        <v>5441</v>
      </c>
      <c r="Q1842" s="23">
        <v>45091</v>
      </c>
      <c r="R1842" s="32">
        <v>45457</v>
      </c>
      <c r="V1842" s="33">
        <v>50</v>
      </c>
      <c r="W1842" s="28">
        <v>64.29</v>
      </c>
      <c r="X1842" s="34" t="s">
        <v>54</v>
      </c>
      <c r="Y1842" s="33">
        <v>32.15</v>
      </c>
      <c r="AC1842" s="28">
        <v>64.29</v>
      </c>
      <c r="AD1842" s="34" t="s">
        <v>54</v>
      </c>
      <c r="AE1842" s="33">
        <v>32.15</v>
      </c>
      <c r="AN1842" s="7" t="s">
        <v>54</v>
      </c>
      <c r="AO1842" s="7" t="s">
        <v>55</v>
      </c>
      <c r="AP1842" s="7" t="s">
        <v>56</v>
      </c>
      <c r="AT1842" s="47" t="s">
        <v>57</v>
      </c>
      <c r="AU1842" s="47" t="s">
        <v>57</v>
      </c>
    </row>
    <row r="1843" spans="1:47">
      <c r="A1843" s="4" t="s">
        <v>48</v>
      </c>
      <c r="C1843" s="21"/>
      <c r="D1843" s="22" t="s">
        <v>49</v>
      </c>
      <c r="G1843" s="23">
        <v>45090</v>
      </c>
      <c r="H1843" s="24" t="s">
        <v>5442</v>
      </c>
      <c r="J1843" s="28" t="s">
        <v>51</v>
      </c>
      <c r="L1843" s="24" t="s">
        <v>5443</v>
      </c>
      <c r="M1843" s="1" t="str">
        <f>"131082198007158312"</f>
        <v>131082198007158312</v>
      </c>
      <c r="N1843" s="24" t="s">
        <v>5443</v>
      </c>
      <c r="O1843" s="1" t="str">
        <f>"131082198007158312"</f>
        <v>131082198007158312</v>
      </c>
      <c r="P1843" s="23" t="s">
        <v>5444</v>
      </c>
      <c r="Q1843" s="23">
        <v>45091</v>
      </c>
      <c r="R1843" s="32">
        <v>45457</v>
      </c>
      <c r="V1843" s="33">
        <v>50</v>
      </c>
      <c r="W1843" s="28">
        <v>64.29</v>
      </c>
      <c r="X1843" s="34" t="s">
        <v>54</v>
      </c>
      <c r="Y1843" s="33">
        <v>32.15</v>
      </c>
      <c r="AC1843" s="28">
        <v>64.29</v>
      </c>
      <c r="AD1843" s="34" t="s">
        <v>54</v>
      </c>
      <c r="AE1843" s="33">
        <v>32.15</v>
      </c>
      <c r="AN1843" s="7" t="s">
        <v>54</v>
      </c>
      <c r="AO1843" s="7" t="s">
        <v>55</v>
      </c>
      <c r="AP1843" s="7" t="s">
        <v>56</v>
      </c>
      <c r="AT1843" s="47" t="s">
        <v>57</v>
      </c>
      <c r="AU1843" s="47" t="s">
        <v>57</v>
      </c>
    </row>
    <row r="1844" spans="1:47">
      <c r="A1844" s="4" t="s">
        <v>48</v>
      </c>
      <c r="C1844" s="21"/>
      <c r="D1844" s="22" t="s">
        <v>49</v>
      </c>
      <c r="G1844" s="23">
        <v>45089</v>
      </c>
      <c r="H1844" s="24" t="s">
        <v>5445</v>
      </c>
      <c r="J1844" s="28" t="s">
        <v>51</v>
      </c>
      <c r="L1844" s="24" t="s">
        <v>5446</v>
      </c>
      <c r="M1844" s="1" t="str">
        <f>"341202198901230022"</f>
        <v>341202198901230022</v>
      </c>
      <c r="N1844" s="24" t="s">
        <v>5446</v>
      </c>
      <c r="O1844" s="1" t="str">
        <f>"341202198901230022"</f>
        <v>341202198901230022</v>
      </c>
      <c r="P1844" s="23" t="s">
        <v>5447</v>
      </c>
      <c r="Q1844" s="23">
        <v>45090</v>
      </c>
      <c r="R1844" s="32">
        <v>45456</v>
      </c>
      <c r="V1844" s="33">
        <v>50</v>
      </c>
      <c r="W1844" s="28">
        <v>64.29</v>
      </c>
      <c r="X1844" s="34" t="s">
        <v>54</v>
      </c>
      <c r="Y1844" s="33">
        <v>32.15</v>
      </c>
      <c r="AC1844" s="28">
        <v>64.29</v>
      </c>
      <c r="AD1844" s="34" t="s">
        <v>54</v>
      </c>
      <c r="AE1844" s="33">
        <v>32.15</v>
      </c>
      <c r="AN1844" s="7" t="s">
        <v>54</v>
      </c>
      <c r="AO1844" s="7" t="s">
        <v>55</v>
      </c>
      <c r="AP1844" s="7" t="s">
        <v>56</v>
      </c>
      <c r="AT1844" s="47" t="s">
        <v>57</v>
      </c>
      <c r="AU1844" s="47" t="s">
        <v>57</v>
      </c>
    </row>
    <row r="1845" spans="1:47">
      <c r="A1845" s="4" t="s">
        <v>48</v>
      </c>
      <c r="C1845" s="21"/>
      <c r="D1845" s="22" t="s">
        <v>49</v>
      </c>
      <c r="G1845" s="23">
        <v>45098</v>
      </c>
      <c r="H1845" s="24" t="s">
        <v>5448</v>
      </c>
      <c r="J1845" s="28" t="s">
        <v>51</v>
      </c>
      <c r="L1845" s="24" t="s">
        <v>5449</v>
      </c>
      <c r="M1845" s="1" t="str">
        <f>"341221199501237843"</f>
        <v>341221199501237843</v>
      </c>
      <c r="N1845" s="24" t="s">
        <v>5449</v>
      </c>
      <c r="O1845" s="1" t="str">
        <f>"341221199501237843"</f>
        <v>341221199501237843</v>
      </c>
      <c r="P1845" s="23" t="s">
        <v>5450</v>
      </c>
      <c r="Q1845" s="23">
        <v>45099</v>
      </c>
      <c r="R1845" s="32">
        <v>45465</v>
      </c>
      <c r="V1845" s="33">
        <v>100</v>
      </c>
      <c r="W1845" s="28">
        <v>64.29</v>
      </c>
      <c r="X1845" s="34" t="s">
        <v>54</v>
      </c>
      <c r="Y1845" s="33">
        <v>64.29</v>
      </c>
      <c r="AC1845" s="28">
        <v>64.29</v>
      </c>
      <c r="AD1845" s="34" t="s">
        <v>54</v>
      </c>
      <c r="AE1845" s="33">
        <v>64.29</v>
      </c>
      <c r="AN1845" s="7" t="s">
        <v>54</v>
      </c>
      <c r="AO1845" s="7" t="s">
        <v>55</v>
      </c>
      <c r="AP1845" s="7" t="s">
        <v>56</v>
      </c>
      <c r="AT1845" s="47" t="s">
        <v>57</v>
      </c>
      <c r="AU1845" s="47" t="s">
        <v>57</v>
      </c>
    </row>
    <row r="1846" spans="1:47">
      <c r="A1846" s="4" t="s">
        <v>48</v>
      </c>
      <c r="C1846" s="21"/>
      <c r="D1846" s="22" t="s">
        <v>49</v>
      </c>
      <c r="G1846" s="23">
        <v>45096</v>
      </c>
      <c r="H1846" s="24" t="s">
        <v>5451</v>
      </c>
      <c r="J1846" s="28" t="s">
        <v>51</v>
      </c>
      <c r="L1846" s="24" t="s">
        <v>5452</v>
      </c>
      <c r="M1846" s="1" t="str">
        <f>"152322198703132946"</f>
        <v>152322198703132946</v>
      </c>
      <c r="N1846" s="24" t="s">
        <v>5452</v>
      </c>
      <c r="O1846" s="1" t="str">
        <f>"152322198703132946"</f>
        <v>152322198703132946</v>
      </c>
      <c r="P1846" s="23" t="s">
        <v>5453</v>
      </c>
      <c r="Q1846" s="23">
        <v>45097</v>
      </c>
      <c r="R1846" s="32">
        <v>45463</v>
      </c>
      <c r="V1846" s="33">
        <v>100</v>
      </c>
      <c r="W1846" s="28">
        <v>64.29</v>
      </c>
      <c r="X1846" s="34" t="s">
        <v>54</v>
      </c>
      <c r="Y1846" s="33">
        <v>64.29</v>
      </c>
      <c r="AC1846" s="28">
        <v>64.29</v>
      </c>
      <c r="AD1846" s="34" t="s">
        <v>54</v>
      </c>
      <c r="AE1846" s="33">
        <v>64.29</v>
      </c>
      <c r="AN1846" s="7" t="s">
        <v>54</v>
      </c>
      <c r="AO1846" s="7" t="s">
        <v>55</v>
      </c>
      <c r="AP1846" s="7" t="s">
        <v>56</v>
      </c>
      <c r="AT1846" s="47" t="s">
        <v>57</v>
      </c>
      <c r="AU1846" s="47" t="s">
        <v>57</v>
      </c>
    </row>
    <row r="1847" spans="1:47">
      <c r="A1847" s="4" t="s">
        <v>48</v>
      </c>
      <c r="C1847" s="21"/>
      <c r="D1847" s="22" t="s">
        <v>49</v>
      </c>
      <c r="G1847" s="23">
        <v>45089</v>
      </c>
      <c r="H1847" s="24" t="s">
        <v>5454</v>
      </c>
      <c r="J1847" s="28" t="s">
        <v>51</v>
      </c>
      <c r="L1847" s="24" t="s">
        <v>5455</v>
      </c>
      <c r="M1847" s="1" t="str">
        <f>"132821197004268273"</f>
        <v>132821197004268273</v>
      </c>
      <c r="N1847" s="24" t="s">
        <v>5455</v>
      </c>
      <c r="O1847" s="1" t="str">
        <f>"132821197004268273"</f>
        <v>132821197004268273</v>
      </c>
      <c r="P1847" s="23" t="s">
        <v>5444</v>
      </c>
      <c r="Q1847" s="23">
        <v>45212</v>
      </c>
      <c r="R1847" s="32">
        <v>45578</v>
      </c>
      <c r="V1847" s="33">
        <v>100</v>
      </c>
      <c r="W1847" s="28">
        <v>64.29</v>
      </c>
      <c r="X1847" s="34" t="s">
        <v>54</v>
      </c>
      <c r="Y1847" s="33">
        <v>64.29</v>
      </c>
      <c r="AC1847" s="28">
        <v>64.29</v>
      </c>
      <c r="AD1847" s="34" t="s">
        <v>54</v>
      </c>
      <c r="AE1847" s="33">
        <v>64.29</v>
      </c>
      <c r="AN1847" s="7" t="s">
        <v>54</v>
      </c>
      <c r="AO1847" s="7" t="s">
        <v>55</v>
      </c>
      <c r="AP1847" s="7" t="s">
        <v>56</v>
      </c>
      <c r="AT1847" s="47" t="s">
        <v>57</v>
      </c>
      <c r="AU1847" s="47" t="s">
        <v>57</v>
      </c>
    </row>
    <row r="1848" spans="1:47">
      <c r="A1848" s="4" t="s">
        <v>48</v>
      </c>
      <c r="C1848" s="21"/>
      <c r="D1848" s="22" t="s">
        <v>49</v>
      </c>
      <c r="G1848" s="23">
        <v>45075</v>
      </c>
      <c r="H1848" s="24" t="s">
        <v>5456</v>
      </c>
      <c r="J1848" s="28" t="s">
        <v>51</v>
      </c>
      <c r="L1848" s="24" t="s">
        <v>5457</v>
      </c>
      <c r="M1848" s="1" t="str">
        <f>"132821194802190526"</f>
        <v>132821194802190526</v>
      </c>
      <c r="N1848" s="24" t="s">
        <v>5457</v>
      </c>
      <c r="O1848" s="1" t="str">
        <f>"132821194802190526"</f>
        <v>132821194802190526</v>
      </c>
      <c r="P1848" s="23" t="s">
        <v>5458</v>
      </c>
      <c r="Q1848" s="23">
        <v>45076</v>
      </c>
      <c r="R1848" s="32">
        <v>45442</v>
      </c>
      <c r="V1848" s="33">
        <v>100</v>
      </c>
      <c r="W1848" s="28">
        <v>64.29</v>
      </c>
      <c r="X1848" s="34" t="s">
        <v>54</v>
      </c>
      <c r="Y1848" s="33">
        <v>64.29</v>
      </c>
      <c r="AC1848" s="28">
        <v>64.29</v>
      </c>
      <c r="AD1848" s="34" t="s">
        <v>54</v>
      </c>
      <c r="AE1848" s="33">
        <v>64.29</v>
      </c>
      <c r="AN1848" s="7" t="s">
        <v>54</v>
      </c>
      <c r="AO1848" s="7" t="s">
        <v>55</v>
      </c>
      <c r="AP1848" s="7" t="s">
        <v>56</v>
      </c>
      <c r="AT1848" s="47" t="s">
        <v>57</v>
      </c>
      <c r="AU1848" s="47" t="s">
        <v>57</v>
      </c>
    </row>
    <row r="1849" spans="1:47">
      <c r="A1849" s="4" t="s">
        <v>48</v>
      </c>
      <c r="C1849" s="21"/>
      <c r="D1849" s="22" t="s">
        <v>49</v>
      </c>
      <c r="G1849" s="23">
        <v>45090</v>
      </c>
      <c r="H1849" s="24" t="s">
        <v>5459</v>
      </c>
      <c r="J1849" s="28" t="s">
        <v>51</v>
      </c>
      <c r="L1849" s="24" t="s">
        <v>5460</v>
      </c>
      <c r="M1849" s="1" t="str">
        <f>"341225199004201482"</f>
        <v>341225199004201482</v>
      </c>
      <c r="N1849" s="24" t="s">
        <v>5460</v>
      </c>
      <c r="O1849" s="1" t="str">
        <f>"341225199004201482"</f>
        <v>341225199004201482</v>
      </c>
      <c r="P1849" s="23" t="s">
        <v>5461</v>
      </c>
      <c r="Q1849" s="23">
        <v>45091</v>
      </c>
      <c r="R1849" s="32">
        <v>45457</v>
      </c>
      <c r="V1849" s="33">
        <v>600</v>
      </c>
      <c r="W1849" s="28">
        <v>64.29</v>
      </c>
      <c r="X1849" s="34" t="s">
        <v>54</v>
      </c>
      <c r="Y1849" s="33">
        <v>385.74</v>
      </c>
      <c r="AC1849" s="28">
        <v>64.29</v>
      </c>
      <c r="AD1849" s="34" t="s">
        <v>54</v>
      </c>
      <c r="AE1849" s="33">
        <v>385.74</v>
      </c>
      <c r="AN1849" s="7" t="s">
        <v>54</v>
      </c>
      <c r="AO1849" s="7" t="s">
        <v>55</v>
      </c>
      <c r="AP1849" s="7" t="s">
        <v>56</v>
      </c>
      <c r="AT1849" s="47" t="s">
        <v>57</v>
      </c>
      <c r="AU1849" s="47" t="s">
        <v>57</v>
      </c>
    </row>
    <row r="1850" spans="1:47">
      <c r="A1850" s="4" t="s">
        <v>48</v>
      </c>
      <c r="C1850" s="21"/>
      <c r="D1850" s="22" t="s">
        <v>49</v>
      </c>
      <c r="G1850" s="23">
        <v>45086</v>
      </c>
      <c r="H1850" s="24" t="s">
        <v>5462</v>
      </c>
      <c r="J1850" s="28" t="s">
        <v>51</v>
      </c>
      <c r="L1850" s="24" t="s">
        <v>5463</v>
      </c>
      <c r="M1850" s="1" t="str">
        <f>"140402196810140025"</f>
        <v>140402196810140025</v>
      </c>
      <c r="N1850" s="24" t="s">
        <v>5463</v>
      </c>
      <c r="O1850" s="1" t="str">
        <f>"140402196810140025"</f>
        <v>140402196810140025</v>
      </c>
      <c r="P1850" s="23" t="s">
        <v>5464</v>
      </c>
      <c r="Q1850" s="23">
        <v>45087</v>
      </c>
      <c r="R1850" s="32">
        <v>45453</v>
      </c>
      <c r="V1850" s="33">
        <v>600</v>
      </c>
      <c r="W1850" s="28">
        <v>64.29</v>
      </c>
      <c r="X1850" s="34" t="s">
        <v>54</v>
      </c>
      <c r="Y1850" s="33">
        <v>385.74</v>
      </c>
      <c r="AC1850" s="28">
        <v>64.29</v>
      </c>
      <c r="AD1850" s="34" t="s">
        <v>54</v>
      </c>
      <c r="AE1850" s="33">
        <v>385.74</v>
      </c>
      <c r="AN1850" s="7" t="s">
        <v>54</v>
      </c>
      <c r="AO1850" s="7" t="s">
        <v>55</v>
      </c>
      <c r="AP1850" s="7" t="s">
        <v>56</v>
      </c>
      <c r="AT1850" s="47" t="s">
        <v>57</v>
      </c>
      <c r="AU1850" s="47" t="s">
        <v>57</v>
      </c>
    </row>
    <row r="1851" spans="1:47">
      <c r="A1851" s="4" t="s">
        <v>48</v>
      </c>
      <c r="C1851" s="21"/>
      <c r="D1851" s="22" t="s">
        <v>49</v>
      </c>
      <c r="G1851" s="23">
        <v>45090</v>
      </c>
      <c r="H1851" s="24" t="s">
        <v>5465</v>
      </c>
      <c r="J1851" s="28" t="s">
        <v>51</v>
      </c>
      <c r="L1851" s="24" t="s">
        <v>5466</v>
      </c>
      <c r="M1851" s="1" t="str">
        <f>"130926198706112484"</f>
        <v>130926198706112484</v>
      </c>
      <c r="N1851" s="24" t="s">
        <v>5466</v>
      </c>
      <c r="O1851" s="1" t="str">
        <f>"130926198706112484"</f>
        <v>130926198706112484</v>
      </c>
      <c r="P1851" s="23" t="s">
        <v>5467</v>
      </c>
      <c r="Q1851" s="23">
        <v>45091</v>
      </c>
      <c r="R1851" s="32">
        <v>45457</v>
      </c>
      <c r="V1851" s="33">
        <v>50</v>
      </c>
      <c r="W1851" s="28">
        <v>64.29</v>
      </c>
      <c r="X1851" s="34" t="s">
        <v>54</v>
      </c>
      <c r="Y1851" s="33">
        <v>32.15</v>
      </c>
      <c r="AC1851" s="28">
        <v>64.29</v>
      </c>
      <c r="AD1851" s="34" t="s">
        <v>54</v>
      </c>
      <c r="AE1851" s="33">
        <v>32.15</v>
      </c>
      <c r="AN1851" s="7" t="s">
        <v>54</v>
      </c>
      <c r="AO1851" s="7" t="s">
        <v>55</v>
      </c>
      <c r="AP1851" s="7" t="s">
        <v>56</v>
      </c>
      <c r="AT1851" s="47" t="s">
        <v>57</v>
      </c>
      <c r="AU1851" s="47" t="s">
        <v>57</v>
      </c>
    </row>
    <row r="1852" spans="1:47">
      <c r="A1852" s="4" t="s">
        <v>48</v>
      </c>
      <c r="C1852" s="21"/>
      <c r="D1852" s="22" t="s">
        <v>49</v>
      </c>
      <c r="G1852" s="23">
        <v>45090</v>
      </c>
      <c r="H1852" s="24" t="s">
        <v>5468</v>
      </c>
      <c r="J1852" s="28" t="s">
        <v>51</v>
      </c>
      <c r="L1852" s="24" t="s">
        <v>5469</v>
      </c>
      <c r="M1852" s="1" t="str">
        <f>"131082195110188313"</f>
        <v>131082195110188313</v>
      </c>
      <c r="N1852" s="24" t="s">
        <v>5469</v>
      </c>
      <c r="O1852" s="1" t="str">
        <f>"131082195110188313"</f>
        <v>131082195110188313</v>
      </c>
      <c r="P1852" s="23" t="s">
        <v>5470</v>
      </c>
      <c r="Q1852" s="23">
        <v>45091</v>
      </c>
      <c r="R1852" s="32">
        <v>45457</v>
      </c>
      <c r="V1852" s="33">
        <v>50</v>
      </c>
      <c r="W1852" s="28">
        <v>64.29</v>
      </c>
      <c r="X1852" s="34" t="s">
        <v>54</v>
      </c>
      <c r="Y1852" s="33">
        <v>32.15</v>
      </c>
      <c r="AC1852" s="28">
        <v>64.29</v>
      </c>
      <c r="AD1852" s="34" t="s">
        <v>54</v>
      </c>
      <c r="AE1852" s="33">
        <v>32.15</v>
      </c>
      <c r="AN1852" s="7" t="s">
        <v>54</v>
      </c>
      <c r="AO1852" s="7" t="s">
        <v>55</v>
      </c>
      <c r="AP1852" s="7" t="s">
        <v>56</v>
      </c>
      <c r="AT1852" s="47" t="s">
        <v>57</v>
      </c>
      <c r="AU1852" s="47" t="s">
        <v>57</v>
      </c>
    </row>
    <row r="1853" spans="1:47">
      <c r="A1853" s="4" t="s">
        <v>48</v>
      </c>
      <c r="C1853" s="21"/>
      <c r="D1853" s="22" t="s">
        <v>49</v>
      </c>
      <c r="G1853" s="23">
        <v>45087</v>
      </c>
      <c r="H1853" s="24" t="s">
        <v>5471</v>
      </c>
      <c r="J1853" s="28" t="s">
        <v>51</v>
      </c>
      <c r="L1853" s="24" t="s">
        <v>5472</v>
      </c>
      <c r="M1853" s="1" t="str">
        <f>"131082199009140567"</f>
        <v>131082199009140567</v>
      </c>
      <c r="N1853" s="24" t="s">
        <v>5472</v>
      </c>
      <c r="O1853" s="1" t="str">
        <f>"131082199009140567"</f>
        <v>131082199009140567</v>
      </c>
      <c r="P1853" s="23" t="s">
        <v>5473</v>
      </c>
      <c r="Q1853" s="23">
        <v>45088</v>
      </c>
      <c r="R1853" s="32">
        <v>45454</v>
      </c>
      <c r="V1853" s="33">
        <v>50</v>
      </c>
      <c r="W1853" s="28">
        <v>64.29</v>
      </c>
      <c r="X1853" s="34" t="s">
        <v>54</v>
      </c>
      <c r="Y1853" s="33">
        <v>32.15</v>
      </c>
      <c r="AC1853" s="28">
        <v>64.29</v>
      </c>
      <c r="AD1853" s="34" t="s">
        <v>54</v>
      </c>
      <c r="AE1853" s="33">
        <v>32.15</v>
      </c>
      <c r="AN1853" s="7" t="s">
        <v>54</v>
      </c>
      <c r="AO1853" s="7" t="s">
        <v>55</v>
      </c>
      <c r="AP1853" s="7" t="s">
        <v>56</v>
      </c>
      <c r="AT1853" s="47" t="s">
        <v>57</v>
      </c>
      <c r="AU1853" s="47" t="s">
        <v>57</v>
      </c>
    </row>
    <row r="1854" spans="1:47">
      <c r="A1854" s="4" t="s">
        <v>48</v>
      </c>
      <c r="C1854" s="21"/>
      <c r="D1854" s="22" t="s">
        <v>49</v>
      </c>
      <c r="G1854" s="23">
        <v>45089</v>
      </c>
      <c r="H1854" s="24" t="s">
        <v>5474</v>
      </c>
      <c r="J1854" s="28" t="s">
        <v>51</v>
      </c>
      <c r="L1854" s="24" t="s">
        <v>5475</v>
      </c>
      <c r="M1854" s="1" t="str">
        <f>"132821196404188278"</f>
        <v>132821196404188278</v>
      </c>
      <c r="N1854" s="24" t="s">
        <v>5475</v>
      </c>
      <c r="O1854" s="1" t="str">
        <f>"132821196404188278"</f>
        <v>132821196404188278</v>
      </c>
      <c r="P1854" s="23" t="s">
        <v>5476</v>
      </c>
      <c r="Q1854" s="23">
        <v>45138</v>
      </c>
      <c r="R1854" s="32">
        <v>45504</v>
      </c>
      <c r="V1854" s="33">
        <v>100</v>
      </c>
      <c r="W1854" s="28">
        <v>64.29</v>
      </c>
      <c r="X1854" s="34" t="s">
        <v>54</v>
      </c>
      <c r="Y1854" s="33">
        <v>64.29</v>
      </c>
      <c r="AC1854" s="28">
        <v>64.29</v>
      </c>
      <c r="AD1854" s="34" t="s">
        <v>54</v>
      </c>
      <c r="AE1854" s="33">
        <v>64.29</v>
      </c>
      <c r="AN1854" s="7" t="s">
        <v>54</v>
      </c>
      <c r="AO1854" s="7" t="s">
        <v>55</v>
      </c>
      <c r="AP1854" s="7" t="s">
        <v>56</v>
      </c>
      <c r="AT1854" s="47" t="s">
        <v>57</v>
      </c>
      <c r="AU1854" s="47" t="s">
        <v>57</v>
      </c>
    </row>
    <row r="1855" spans="1:47">
      <c r="A1855" s="4" t="s">
        <v>48</v>
      </c>
      <c r="C1855" s="21"/>
      <c r="D1855" s="22" t="s">
        <v>49</v>
      </c>
      <c r="G1855" s="23">
        <v>45089</v>
      </c>
      <c r="H1855" s="24" t="s">
        <v>5477</v>
      </c>
      <c r="J1855" s="28" t="s">
        <v>51</v>
      </c>
      <c r="L1855" s="24" t="s">
        <v>5478</v>
      </c>
      <c r="M1855" s="1" t="str">
        <f>"230103197112272828"</f>
        <v>230103197112272828</v>
      </c>
      <c r="N1855" s="24" t="s">
        <v>5478</v>
      </c>
      <c r="O1855" s="1" t="str">
        <f>"230103197112272828"</f>
        <v>230103197112272828</v>
      </c>
      <c r="P1855" s="23" t="s">
        <v>5479</v>
      </c>
      <c r="Q1855" s="23">
        <v>45090</v>
      </c>
      <c r="R1855" s="32">
        <v>45456</v>
      </c>
      <c r="V1855" s="33">
        <v>100</v>
      </c>
      <c r="W1855" s="28">
        <v>64.29</v>
      </c>
      <c r="X1855" s="34" t="s">
        <v>54</v>
      </c>
      <c r="Y1855" s="33">
        <v>64.29</v>
      </c>
      <c r="AC1855" s="28">
        <v>64.29</v>
      </c>
      <c r="AD1855" s="34" t="s">
        <v>54</v>
      </c>
      <c r="AE1855" s="33">
        <v>64.29</v>
      </c>
      <c r="AN1855" s="7" t="s">
        <v>54</v>
      </c>
      <c r="AO1855" s="7" t="s">
        <v>55</v>
      </c>
      <c r="AP1855" s="7" t="s">
        <v>56</v>
      </c>
      <c r="AT1855" s="47" t="s">
        <v>57</v>
      </c>
      <c r="AU1855" s="47" t="s">
        <v>57</v>
      </c>
    </row>
    <row r="1856" spans="1:47">
      <c r="A1856" s="4" t="s">
        <v>48</v>
      </c>
      <c r="C1856" s="21"/>
      <c r="D1856" s="22" t="s">
        <v>49</v>
      </c>
      <c r="G1856" s="23">
        <v>45089</v>
      </c>
      <c r="H1856" s="24" t="s">
        <v>5480</v>
      </c>
      <c r="J1856" s="28" t="s">
        <v>51</v>
      </c>
      <c r="L1856" s="24" t="s">
        <v>5481</v>
      </c>
      <c r="M1856" s="1" t="str">
        <f>"341203199304054105"</f>
        <v>341203199304054105</v>
      </c>
      <c r="N1856" s="24" t="s">
        <v>5481</v>
      </c>
      <c r="O1856" s="1" t="str">
        <f>"341203199304054105"</f>
        <v>341203199304054105</v>
      </c>
      <c r="P1856" s="23" t="s">
        <v>5482</v>
      </c>
      <c r="Q1856" s="23">
        <v>45090</v>
      </c>
      <c r="R1856" s="32">
        <v>45456</v>
      </c>
      <c r="V1856" s="33">
        <v>100</v>
      </c>
      <c r="W1856" s="28">
        <v>64.29</v>
      </c>
      <c r="X1856" s="34" t="s">
        <v>54</v>
      </c>
      <c r="Y1856" s="33">
        <v>64.29</v>
      </c>
      <c r="AC1856" s="28">
        <v>64.29</v>
      </c>
      <c r="AD1856" s="34" t="s">
        <v>54</v>
      </c>
      <c r="AE1856" s="33">
        <v>64.29</v>
      </c>
      <c r="AN1856" s="7" t="s">
        <v>54</v>
      </c>
      <c r="AO1856" s="7" t="s">
        <v>55</v>
      </c>
      <c r="AP1856" s="7" t="s">
        <v>56</v>
      </c>
      <c r="AT1856" s="47" t="s">
        <v>57</v>
      </c>
      <c r="AU1856" s="47" t="s">
        <v>57</v>
      </c>
    </row>
    <row r="1857" spans="1:47">
      <c r="A1857" s="4" t="s">
        <v>48</v>
      </c>
      <c r="C1857" s="21"/>
      <c r="D1857" s="22" t="s">
        <v>49</v>
      </c>
      <c r="G1857" s="23">
        <v>45089</v>
      </c>
      <c r="H1857" s="24" t="s">
        <v>5483</v>
      </c>
      <c r="J1857" s="28" t="s">
        <v>51</v>
      </c>
      <c r="L1857" s="24" t="s">
        <v>5484</v>
      </c>
      <c r="M1857" s="1" t="str">
        <f>"132821196304208286"</f>
        <v>132821196304208286</v>
      </c>
      <c r="N1857" s="24" t="s">
        <v>5484</v>
      </c>
      <c r="O1857" s="1" t="str">
        <f>"132821196304208286"</f>
        <v>132821196304208286</v>
      </c>
      <c r="P1857" s="23" t="s">
        <v>5476</v>
      </c>
      <c r="Q1857" s="23">
        <v>45212</v>
      </c>
      <c r="R1857" s="32">
        <v>45578</v>
      </c>
      <c r="V1857" s="33">
        <v>100</v>
      </c>
      <c r="W1857" s="28">
        <v>64.29</v>
      </c>
      <c r="X1857" s="34" t="s">
        <v>54</v>
      </c>
      <c r="Y1857" s="33">
        <v>64.29</v>
      </c>
      <c r="AC1857" s="28">
        <v>64.29</v>
      </c>
      <c r="AD1857" s="34" t="s">
        <v>54</v>
      </c>
      <c r="AE1857" s="33">
        <v>64.29</v>
      </c>
      <c r="AN1857" s="7" t="s">
        <v>54</v>
      </c>
      <c r="AO1857" s="7" t="s">
        <v>55</v>
      </c>
      <c r="AP1857" s="7" t="s">
        <v>56</v>
      </c>
      <c r="AT1857" s="47" t="s">
        <v>57</v>
      </c>
      <c r="AU1857" s="47" t="s">
        <v>57</v>
      </c>
    </row>
    <row r="1858" spans="1:47">
      <c r="A1858" s="4" t="s">
        <v>48</v>
      </c>
      <c r="C1858" s="21"/>
      <c r="D1858" s="22" t="s">
        <v>49</v>
      </c>
      <c r="G1858" s="23">
        <v>45089</v>
      </c>
      <c r="H1858" s="24" t="s">
        <v>5485</v>
      </c>
      <c r="J1858" s="28" t="s">
        <v>51</v>
      </c>
      <c r="L1858" s="24" t="s">
        <v>5486</v>
      </c>
      <c r="M1858" s="1" t="str">
        <f>"131082198604280551"</f>
        <v>131082198604280551</v>
      </c>
      <c r="N1858" s="24" t="s">
        <v>5486</v>
      </c>
      <c r="O1858" s="1" t="str">
        <f>"131082198604280551"</f>
        <v>131082198604280551</v>
      </c>
      <c r="P1858" s="23" t="s">
        <v>5476</v>
      </c>
      <c r="Q1858" s="23">
        <v>45212</v>
      </c>
      <c r="R1858" s="32">
        <v>45578</v>
      </c>
      <c r="V1858" s="33">
        <v>100</v>
      </c>
      <c r="W1858" s="28">
        <v>64.29</v>
      </c>
      <c r="X1858" s="34" t="s">
        <v>54</v>
      </c>
      <c r="Y1858" s="33">
        <v>64.29</v>
      </c>
      <c r="AC1858" s="28">
        <v>64.29</v>
      </c>
      <c r="AD1858" s="34" t="s">
        <v>54</v>
      </c>
      <c r="AE1858" s="33">
        <v>64.29</v>
      </c>
      <c r="AN1858" s="7" t="s">
        <v>54</v>
      </c>
      <c r="AO1858" s="7" t="s">
        <v>55</v>
      </c>
      <c r="AP1858" s="7" t="s">
        <v>56</v>
      </c>
      <c r="AT1858" s="47" t="s">
        <v>57</v>
      </c>
      <c r="AU1858" s="47" t="s">
        <v>57</v>
      </c>
    </row>
    <row r="1859" spans="1:47">
      <c r="A1859" s="4" t="s">
        <v>48</v>
      </c>
      <c r="C1859" s="21"/>
      <c r="D1859" s="22" t="s">
        <v>49</v>
      </c>
      <c r="G1859" s="23">
        <v>45076</v>
      </c>
      <c r="H1859" s="24" t="s">
        <v>5487</v>
      </c>
      <c r="J1859" s="28" t="s">
        <v>51</v>
      </c>
      <c r="L1859" s="24" t="s">
        <v>5488</v>
      </c>
      <c r="M1859" s="1" t="str">
        <f>"132821195305260532"</f>
        <v>132821195305260532</v>
      </c>
      <c r="N1859" s="24" t="s">
        <v>5488</v>
      </c>
      <c r="O1859" s="1" t="str">
        <f>"132821195305260532"</f>
        <v>132821195305260532</v>
      </c>
      <c r="P1859" s="23" t="s">
        <v>5489</v>
      </c>
      <c r="Q1859" s="23">
        <v>45077</v>
      </c>
      <c r="R1859" s="32">
        <v>45443</v>
      </c>
      <c r="V1859" s="33">
        <v>100</v>
      </c>
      <c r="W1859" s="28">
        <v>64.29</v>
      </c>
      <c r="X1859" s="34" t="s">
        <v>54</v>
      </c>
      <c r="Y1859" s="33">
        <v>64.29</v>
      </c>
      <c r="AC1859" s="28">
        <v>64.29</v>
      </c>
      <c r="AD1859" s="34" t="s">
        <v>54</v>
      </c>
      <c r="AE1859" s="33">
        <v>64.29</v>
      </c>
      <c r="AN1859" s="7" t="s">
        <v>54</v>
      </c>
      <c r="AO1859" s="7" t="s">
        <v>55</v>
      </c>
      <c r="AP1859" s="7" t="s">
        <v>56</v>
      </c>
      <c r="AT1859" s="47" t="s">
        <v>57</v>
      </c>
      <c r="AU1859" s="47" t="s">
        <v>57</v>
      </c>
    </row>
    <row r="1860" spans="1:47">
      <c r="A1860" s="4" t="s">
        <v>48</v>
      </c>
      <c r="C1860" s="21"/>
      <c r="D1860" s="22" t="s">
        <v>49</v>
      </c>
      <c r="G1860" s="23">
        <v>45075</v>
      </c>
      <c r="H1860" s="24" t="s">
        <v>5490</v>
      </c>
      <c r="J1860" s="28" t="s">
        <v>51</v>
      </c>
      <c r="L1860" s="24" t="s">
        <v>5491</v>
      </c>
      <c r="M1860" s="1" t="str">
        <f>"131082197909078210"</f>
        <v>131082197909078210</v>
      </c>
      <c r="N1860" s="24" t="s">
        <v>5491</v>
      </c>
      <c r="O1860" s="1" t="str">
        <f>"131082197909078210"</f>
        <v>131082197909078210</v>
      </c>
      <c r="P1860" s="23" t="s">
        <v>5492</v>
      </c>
      <c r="Q1860" s="23">
        <v>45170</v>
      </c>
      <c r="R1860" s="32">
        <v>45536</v>
      </c>
      <c r="V1860" s="33">
        <v>100</v>
      </c>
      <c r="W1860" s="28">
        <v>64.29</v>
      </c>
      <c r="X1860" s="34" t="s">
        <v>54</v>
      </c>
      <c r="Y1860" s="33">
        <v>64.29</v>
      </c>
      <c r="AC1860" s="28">
        <v>64.29</v>
      </c>
      <c r="AD1860" s="34" t="s">
        <v>54</v>
      </c>
      <c r="AE1860" s="33">
        <v>64.29</v>
      </c>
      <c r="AN1860" s="7" t="s">
        <v>54</v>
      </c>
      <c r="AO1860" s="7" t="s">
        <v>55</v>
      </c>
      <c r="AP1860" s="7" t="s">
        <v>56</v>
      </c>
      <c r="AT1860" s="47" t="s">
        <v>57</v>
      </c>
      <c r="AU1860" s="47" t="s">
        <v>57</v>
      </c>
    </row>
    <row r="1861" spans="1:47">
      <c r="A1861" s="4" t="s">
        <v>48</v>
      </c>
      <c r="C1861" s="21"/>
      <c r="D1861" s="22" t="s">
        <v>49</v>
      </c>
      <c r="G1861" s="23">
        <v>45075</v>
      </c>
      <c r="H1861" s="24" t="s">
        <v>5493</v>
      </c>
      <c r="J1861" s="28" t="s">
        <v>51</v>
      </c>
      <c r="L1861" s="24" t="s">
        <v>1493</v>
      </c>
      <c r="M1861" s="1" t="str">
        <f>"120222198902191022"</f>
        <v>120222198902191022</v>
      </c>
      <c r="N1861" s="24" t="s">
        <v>1493</v>
      </c>
      <c r="O1861" s="1" t="str">
        <f>"120222198902191022"</f>
        <v>120222198902191022</v>
      </c>
      <c r="P1861" s="23" t="s">
        <v>5494</v>
      </c>
      <c r="Q1861" s="23">
        <v>45076</v>
      </c>
      <c r="R1861" s="32">
        <v>45442</v>
      </c>
      <c r="V1861" s="33">
        <v>100</v>
      </c>
      <c r="W1861" s="28">
        <v>64.29</v>
      </c>
      <c r="X1861" s="34" t="s">
        <v>54</v>
      </c>
      <c r="Y1861" s="33">
        <v>64.29</v>
      </c>
      <c r="AC1861" s="28">
        <v>64.29</v>
      </c>
      <c r="AD1861" s="34" t="s">
        <v>54</v>
      </c>
      <c r="AE1861" s="33">
        <v>64.29</v>
      </c>
      <c r="AN1861" s="7" t="s">
        <v>54</v>
      </c>
      <c r="AO1861" s="7" t="s">
        <v>55</v>
      </c>
      <c r="AP1861" s="7" t="s">
        <v>56</v>
      </c>
      <c r="AT1861" s="47" t="s">
        <v>57</v>
      </c>
      <c r="AU1861" s="47" t="s">
        <v>57</v>
      </c>
    </row>
    <row r="1862" spans="1:47">
      <c r="A1862" s="4" t="s">
        <v>48</v>
      </c>
      <c r="C1862" s="21"/>
      <c r="D1862" s="22" t="s">
        <v>49</v>
      </c>
      <c r="G1862" s="23">
        <v>45075</v>
      </c>
      <c r="H1862" s="24" t="s">
        <v>5495</v>
      </c>
      <c r="J1862" s="28" t="s">
        <v>51</v>
      </c>
      <c r="L1862" s="24" t="s">
        <v>5496</v>
      </c>
      <c r="M1862" s="1" t="str">
        <f>"211421197906030616"</f>
        <v>211421197906030616</v>
      </c>
      <c r="N1862" s="24" t="s">
        <v>5496</v>
      </c>
      <c r="O1862" s="1" t="str">
        <f>"211421197906030616"</f>
        <v>211421197906030616</v>
      </c>
      <c r="P1862" s="23" t="s">
        <v>5497</v>
      </c>
      <c r="Q1862" s="23">
        <v>45168</v>
      </c>
      <c r="R1862" s="32">
        <v>45534</v>
      </c>
      <c r="V1862" s="33">
        <v>100</v>
      </c>
      <c r="W1862" s="28">
        <v>64.29</v>
      </c>
      <c r="X1862" s="34" t="s">
        <v>54</v>
      </c>
      <c r="Y1862" s="33">
        <v>64.29</v>
      </c>
      <c r="AC1862" s="28">
        <v>64.29</v>
      </c>
      <c r="AD1862" s="34" t="s">
        <v>54</v>
      </c>
      <c r="AE1862" s="33">
        <v>64.29</v>
      </c>
      <c r="AN1862" s="7" t="s">
        <v>54</v>
      </c>
      <c r="AO1862" s="7" t="s">
        <v>55</v>
      </c>
      <c r="AP1862" s="7" t="s">
        <v>56</v>
      </c>
      <c r="AT1862" s="47" t="s">
        <v>57</v>
      </c>
      <c r="AU1862" s="47" t="s">
        <v>57</v>
      </c>
    </row>
    <row r="1863" spans="1:47">
      <c r="A1863" s="4" t="s">
        <v>48</v>
      </c>
      <c r="C1863" s="21"/>
      <c r="D1863" s="22" t="s">
        <v>49</v>
      </c>
      <c r="G1863" s="23">
        <v>45076</v>
      </c>
      <c r="H1863" s="24" t="s">
        <v>5498</v>
      </c>
      <c r="J1863" s="28" t="s">
        <v>51</v>
      </c>
      <c r="L1863" s="24" t="s">
        <v>5499</v>
      </c>
      <c r="M1863" s="1" t="str">
        <f>"13108219840610053X"</f>
        <v>13108219840610053X</v>
      </c>
      <c r="N1863" s="24" t="s">
        <v>5499</v>
      </c>
      <c r="O1863" s="1" t="str">
        <f>"13108219840610053X"</f>
        <v>13108219840610053X</v>
      </c>
      <c r="P1863" s="23" t="s">
        <v>5500</v>
      </c>
      <c r="Q1863" s="23">
        <v>45230</v>
      </c>
      <c r="R1863" s="32">
        <v>45596</v>
      </c>
      <c r="V1863" s="33">
        <v>100</v>
      </c>
      <c r="W1863" s="28">
        <v>64.29</v>
      </c>
      <c r="X1863" s="34" t="s">
        <v>54</v>
      </c>
      <c r="Y1863" s="33">
        <v>64.29</v>
      </c>
      <c r="AC1863" s="28">
        <v>64.29</v>
      </c>
      <c r="AD1863" s="34" t="s">
        <v>54</v>
      </c>
      <c r="AE1863" s="33">
        <v>64.29</v>
      </c>
      <c r="AN1863" s="7" t="s">
        <v>54</v>
      </c>
      <c r="AO1863" s="7" t="s">
        <v>55</v>
      </c>
      <c r="AP1863" s="7" t="s">
        <v>56</v>
      </c>
      <c r="AT1863" s="47" t="s">
        <v>57</v>
      </c>
      <c r="AU1863" s="47" t="s">
        <v>57</v>
      </c>
    </row>
    <row r="1864" spans="1:47">
      <c r="A1864" s="4" t="s">
        <v>48</v>
      </c>
      <c r="C1864" s="21"/>
      <c r="D1864" s="22" t="s">
        <v>49</v>
      </c>
      <c r="G1864" s="23">
        <v>45076</v>
      </c>
      <c r="H1864" s="24" t="s">
        <v>5501</v>
      </c>
      <c r="J1864" s="28" t="s">
        <v>51</v>
      </c>
      <c r="L1864" s="24" t="s">
        <v>5502</v>
      </c>
      <c r="M1864" s="1" t="str">
        <f>"342101195506061359"</f>
        <v>342101195506061359</v>
      </c>
      <c r="N1864" s="24" t="s">
        <v>5502</v>
      </c>
      <c r="O1864" s="1" t="str">
        <f>"342101195506061359"</f>
        <v>342101195506061359</v>
      </c>
      <c r="P1864" s="23" t="s">
        <v>5503</v>
      </c>
      <c r="Q1864" s="23">
        <v>45108</v>
      </c>
      <c r="R1864" s="32">
        <v>45474</v>
      </c>
      <c r="V1864" s="33">
        <v>100</v>
      </c>
      <c r="W1864" s="28">
        <v>64.29</v>
      </c>
      <c r="X1864" s="34" t="s">
        <v>54</v>
      </c>
      <c r="Y1864" s="33">
        <v>64.29</v>
      </c>
      <c r="AC1864" s="28">
        <v>64.29</v>
      </c>
      <c r="AD1864" s="34" t="s">
        <v>54</v>
      </c>
      <c r="AE1864" s="33">
        <v>64.29</v>
      </c>
      <c r="AN1864" s="7" t="s">
        <v>54</v>
      </c>
      <c r="AO1864" s="7" t="s">
        <v>55</v>
      </c>
      <c r="AP1864" s="7" t="s">
        <v>56</v>
      </c>
      <c r="AT1864" s="47" t="s">
        <v>57</v>
      </c>
      <c r="AU1864" s="47" t="s">
        <v>57</v>
      </c>
    </row>
    <row r="1865" spans="1:47">
      <c r="A1865" s="4" t="s">
        <v>48</v>
      </c>
      <c r="C1865" s="21"/>
      <c r="D1865" s="22" t="s">
        <v>49</v>
      </c>
      <c r="G1865" s="23">
        <v>45088</v>
      </c>
      <c r="H1865" s="24" t="s">
        <v>5504</v>
      </c>
      <c r="J1865" s="28" t="s">
        <v>51</v>
      </c>
      <c r="L1865" s="24" t="s">
        <v>5505</v>
      </c>
      <c r="M1865" s="1" t="str">
        <f>"132821195702198277"</f>
        <v>132821195702198277</v>
      </c>
      <c r="N1865" s="24" t="s">
        <v>5505</v>
      </c>
      <c r="O1865" s="1" t="str">
        <f>"132821195702198277"</f>
        <v>132821195702198277</v>
      </c>
      <c r="P1865" s="23" t="s">
        <v>5506</v>
      </c>
      <c r="Q1865" s="23">
        <v>45089</v>
      </c>
      <c r="R1865" s="32">
        <v>45455</v>
      </c>
      <c r="V1865" s="33">
        <v>600</v>
      </c>
      <c r="W1865" s="28">
        <v>64.29</v>
      </c>
      <c r="X1865" s="34" t="s">
        <v>54</v>
      </c>
      <c r="Y1865" s="33">
        <v>385.74</v>
      </c>
      <c r="AC1865" s="28">
        <v>64.29</v>
      </c>
      <c r="AD1865" s="34" t="s">
        <v>54</v>
      </c>
      <c r="AE1865" s="33">
        <v>385.74</v>
      </c>
      <c r="AN1865" s="7" t="s">
        <v>54</v>
      </c>
      <c r="AO1865" s="7" t="s">
        <v>55</v>
      </c>
      <c r="AP1865" s="7" t="s">
        <v>56</v>
      </c>
      <c r="AT1865" s="47" t="s">
        <v>57</v>
      </c>
      <c r="AU1865" s="47" t="s">
        <v>57</v>
      </c>
    </row>
    <row r="1866" spans="1:47">
      <c r="A1866" s="4" t="s">
        <v>48</v>
      </c>
      <c r="C1866" s="21"/>
      <c r="D1866" s="22" t="s">
        <v>49</v>
      </c>
      <c r="G1866" s="23">
        <v>45082</v>
      </c>
      <c r="H1866" s="24" t="s">
        <v>5507</v>
      </c>
      <c r="J1866" s="28" t="s">
        <v>51</v>
      </c>
      <c r="L1866" s="24" t="s">
        <v>5508</v>
      </c>
      <c r="M1866" s="1" t="str">
        <f>"341202199905072150"</f>
        <v>341202199905072150</v>
      </c>
      <c r="N1866" s="24" t="s">
        <v>5508</v>
      </c>
      <c r="O1866" s="1" t="str">
        <f>"341202199905072150"</f>
        <v>341202199905072150</v>
      </c>
      <c r="P1866" s="23" t="s">
        <v>5509</v>
      </c>
      <c r="Q1866" s="23">
        <v>45083</v>
      </c>
      <c r="R1866" s="32">
        <v>45449</v>
      </c>
      <c r="V1866" s="33">
        <v>600</v>
      </c>
      <c r="W1866" s="28">
        <v>64.29</v>
      </c>
      <c r="X1866" s="34" t="s">
        <v>54</v>
      </c>
      <c r="Y1866" s="33">
        <v>385.74</v>
      </c>
      <c r="AC1866" s="28">
        <v>64.29</v>
      </c>
      <c r="AD1866" s="34" t="s">
        <v>54</v>
      </c>
      <c r="AE1866" s="33">
        <v>385.74</v>
      </c>
      <c r="AN1866" s="7" t="s">
        <v>54</v>
      </c>
      <c r="AO1866" s="7" t="s">
        <v>55</v>
      </c>
      <c r="AP1866" s="7" t="s">
        <v>56</v>
      </c>
      <c r="AT1866" s="47" t="s">
        <v>57</v>
      </c>
      <c r="AU1866" s="47" t="s">
        <v>57</v>
      </c>
    </row>
    <row r="1867" spans="1:47">
      <c r="A1867" s="4" t="s">
        <v>48</v>
      </c>
      <c r="C1867" s="21"/>
      <c r="D1867" s="22" t="s">
        <v>49</v>
      </c>
      <c r="G1867" s="23">
        <v>45086</v>
      </c>
      <c r="H1867" s="24" t="s">
        <v>5510</v>
      </c>
      <c r="J1867" s="28" t="s">
        <v>51</v>
      </c>
      <c r="L1867" s="24" t="s">
        <v>5511</v>
      </c>
      <c r="M1867" s="1" t="str">
        <f>"36011119721029005X"</f>
        <v>36011119721029005X</v>
      </c>
      <c r="N1867" s="24" t="s">
        <v>5511</v>
      </c>
      <c r="O1867" s="1" t="str">
        <f>"36011119721029005X"</f>
        <v>36011119721029005X</v>
      </c>
      <c r="P1867" s="23" t="s">
        <v>5512</v>
      </c>
      <c r="Q1867" s="23">
        <v>45087</v>
      </c>
      <c r="R1867" s="32">
        <v>45453</v>
      </c>
      <c r="V1867" s="33">
        <v>50</v>
      </c>
      <c r="W1867" s="28">
        <v>64.29</v>
      </c>
      <c r="X1867" s="34" t="s">
        <v>54</v>
      </c>
      <c r="Y1867" s="33">
        <v>32.15</v>
      </c>
      <c r="AC1867" s="28">
        <v>64.29</v>
      </c>
      <c r="AD1867" s="34" t="s">
        <v>54</v>
      </c>
      <c r="AE1867" s="33">
        <v>32.15</v>
      </c>
      <c r="AN1867" s="7" t="s">
        <v>54</v>
      </c>
      <c r="AO1867" s="7" t="s">
        <v>55</v>
      </c>
      <c r="AP1867" s="7" t="s">
        <v>56</v>
      </c>
      <c r="AT1867" s="47" t="s">
        <v>57</v>
      </c>
      <c r="AU1867" s="47" t="s">
        <v>57</v>
      </c>
    </row>
    <row r="1868" spans="1:47">
      <c r="A1868" s="4" t="s">
        <v>48</v>
      </c>
      <c r="C1868" s="21"/>
      <c r="D1868" s="22" t="s">
        <v>49</v>
      </c>
      <c r="G1868" s="23">
        <v>45088</v>
      </c>
      <c r="H1868" s="24" t="s">
        <v>5513</v>
      </c>
      <c r="J1868" s="28" t="s">
        <v>51</v>
      </c>
      <c r="L1868" s="24" t="s">
        <v>5514</v>
      </c>
      <c r="M1868" s="1" t="str">
        <f>"132821194507128279"</f>
        <v>132821194507128279</v>
      </c>
      <c r="N1868" s="24" t="s">
        <v>5514</v>
      </c>
      <c r="O1868" s="1" t="str">
        <f>"132821194507128279"</f>
        <v>132821194507128279</v>
      </c>
      <c r="P1868" s="23" t="s">
        <v>5515</v>
      </c>
      <c r="Q1868" s="23">
        <v>45089</v>
      </c>
      <c r="R1868" s="32">
        <v>45455</v>
      </c>
      <c r="V1868" s="33">
        <v>50</v>
      </c>
      <c r="W1868" s="28">
        <v>64.29</v>
      </c>
      <c r="X1868" s="34" t="s">
        <v>54</v>
      </c>
      <c r="Y1868" s="33">
        <v>32.15</v>
      </c>
      <c r="AC1868" s="28">
        <v>64.29</v>
      </c>
      <c r="AD1868" s="34" t="s">
        <v>54</v>
      </c>
      <c r="AE1868" s="33">
        <v>32.15</v>
      </c>
      <c r="AN1868" s="7" t="s">
        <v>54</v>
      </c>
      <c r="AO1868" s="7" t="s">
        <v>55</v>
      </c>
      <c r="AP1868" s="7" t="s">
        <v>56</v>
      </c>
      <c r="AT1868" s="47" t="s">
        <v>57</v>
      </c>
      <c r="AU1868" s="47" t="s">
        <v>57</v>
      </c>
    </row>
    <row r="1869" spans="1:47">
      <c r="A1869" s="4" t="s">
        <v>48</v>
      </c>
      <c r="C1869" s="21"/>
      <c r="D1869" s="22" t="s">
        <v>49</v>
      </c>
      <c r="G1869" s="23">
        <v>45085</v>
      </c>
      <c r="H1869" s="24" t="s">
        <v>5516</v>
      </c>
      <c r="J1869" s="28" t="s">
        <v>51</v>
      </c>
      <c r="L1869" s="24" t="s">
        <v>5517</v>
      </c>
      <c r="M1869" s="1" t="str">
        <f>"132821196207118270"</f>
        <v>132821196207118270</v>
      </c>
      <c r="N1869" s="24" t="s">
        <v>5517</v>
      </c>
      <c r="O1869" s="1" t="str">
        <f>"132821196207118270"</f>
        <v>132821196207118270</v>
      </c>
      <c r="P1869" s="23" t="s">
        <v>5518</v>
      </c>
      <c r="Q1869" s="23">
        <v>45086</v>
      </c>
      <c r="R1869" s="32">
        <v>45452</v>
      </c>
      <c r="V1869" s="33">
        <v>50</v>
      </c>
      <c r="W1869" s="28">
        <v>64.29</v>
      </c>
      <c r="X1869" s="34" t="s">
        <v>54</v>
      </c>
      <c r="Y1869" s="33">
        <v>32.15</v>
      </c>
      <c r="AC1869" s="28">
        <v>64.29</v>
      </c>
      <c r="AD1869" s="34" t="s">
        <v>54</v>
      </c>
      <c r="AE1869" s="33">
        <v>32.15</v>
      </c>
      <c r="AN1869" s="7" t="s">
        <v>54</v>
      </c>
      <c r="AO1869" s="7" t="s">
        <v>55</v>
      </c>
      <c r="AP1869" s="7" t="s">
        <v>56</v>
      </c>
      <c r="AT1869" s="47" t="s">
        <v>57</v>
      </c>
      <c r="AU1869" s="47" t="s">
        <v>57</v>
      </c>
    </row>
    <row r="1870" spans="1:47">
      <c r="A1870" s="4" t="s">
        <v>48</v>
      </c>
      <c r="C1870" s="21"/>
      <c r="D1870" s="22" t="s">
        <v>49</v>
      </c>
      <c r="G1870" s="23">
        <v>45088</v>
      </c>
      <c r="H1870" s="24" t="s">
        <v>5519</v>
      </c>
      <c r="J1870" s="28" t="s">
        <v>51</v>
      </c>
      <c r="L1870" s="24" t="s">
        <v>5520</v>
      </c>
      <c r="M1870" s="1" t="str">
        <f>"131082198606100518"</f>
        <v>131082198606100518</v>
      </c>
      <c r="N1870" s="24" t="s">
        <v>5520</v>
      </c>
      <c r="O1870" s="1" t="str">
        <f>"131082198606100518"</f>
        <v>131082198606100518</v>
      </c>
      <c r="P1870" s="23" t="s">
        <v>5518</v>
      </c>
      <c r="Q1870" s="23">
        <v>45089</v>
      </c>
      <c r="R1870" s="32">
        <v>45455</v>
      </c>
      <c r="V1870" s="33">
        <v>50</v>
      </c>
      <c r="W1870" s="28">
        <v>64.29</v>
      </c>
      <c r="X1870" s="34" t="s">
        <v>54</v>
      </c>
      <c r="Y1870" s="33">
        <v>32.15</v>
      </c>
      <c r="AC1870" s="28">
        <v>64.29</v>
      </c>
      <c r="AD1870" s="34" t="s">
        <v>54</v>
      </c>
      <c r="AE1870" s="33">
        <v>32.15</v>
      </c>
      <c r="AN1870" s="7" t="s">
        <v>54</v>
      </c>
      <c r="AO1870" s="7" t="s">
        <v>55</v>
      </c>
      <c r="AP1870" s="7" t="s">
        <v>56</v>
      </c>
      <c r="AT1870" s="47" t="s">
        <v>57</v>
      </c>
      <c r="AU1870" s="47" t="s">
        <v>57</v>
      </c>
    </row>
    <row r="1871" spans="1:47">
      <c r="A1871" s="4" t="s">
        <v>48</v>
      </c>
      <c r="C1871" s="21"/>
      <c r="D1871" s="22" t="s">
        <v>49</v>
      </c>
      <c r="G1871" s="23">
        <v>45098</v>
      </c>
      <c r="H1871" s="24" t="s">
        <v>5521</v>
      </c>
      <c r="J1871" s="28" t="s">
        <v>51</v>
      </c>
      <c r="L1871" s="24" t="s">
        <v>5522</v>
      </c>
      <c r="M1871" s="1" t="str">
        <f>"34120419751205262X"</f>
        <v>34120419751205262X</v>
      </c>
      <c r="N1871" s="24" t="s">
        <v>5522</v>
      </c>
      <c r="O1871" s="1" t="str">
        <f>"34120419751205262X"</f>
        <v>34120419751205262X</v>
      </c>
      <c r="P1871" s="23" t="s">
        <v>5523</v>
      </c>
      <c r="Q1871" s="23">
        <v>45099</v>
      </c>
      <c r="R1871" s="32">
        <v>45465</v>
      </c>
      <c r="V1871" s="33">
        <v>100</v>
      </c>
      <c r="W1871" s="28">
        <v>64.29</v>
      </c>
      <c r="X1871" s="34" t="s">
        <v>54</v>
      </c>
      <c r="Y1871" s="33">
        <v>64.29</v>
      </c>
      <c r="AC1871" s="28">
        <v>64.29</v>
      </c>
      <c r="AD1871" s="34" t="s">
        <v>54</v>
      </c>
      <c r="AE1871" s="33">
        <v>64.29</v>
      </c>
      <c r="AN1871" s="7" t="s">
        <v>54</v>
      </c>
      <c r="AO1871" s="7" t="s">
        <v>55</v>
      </c>
      <c r="AP1871" s="7" t="s">
        <v>56</v>
      </c>
      <c r="AT1871" s="47" t="s">
        <v>57</v>
      </c>
      <c r="AU1871" s="47" t="s">
        <v>57</v>
      </c>
    </row>
    <row r="1872" spans="1:47">
      <c r="A1872" s="4" t="s">
        <v>48</v>
      </c>
      <c r="C1872" s="21"/>
      <c r="D1872" s="22" t="s">
        <v>49</v>
      </c>
      <c r="G1872" s="23">
        <v>45098</v>
      </c>
      <c r="H1872" s="24" t="s">
        <v>5524</v>
      </c>
      <c r="J1872" s="28" t="s">
        <v>51</v>
      </c>
      <c r="L1872" s="24" t="s">
        <v>5525</v>
      </c>
      <c r="M1872" s="1" t="str">
        <f>"34120219650301339X"</f>
        <v>34120219650301339X</v>
      </c>
      <c r="N1872" s="24" t="s">
        <v>5525</v>
      </c>
      <c r="O1872" s="1" t="str">
        <f>"34120219650301339X"</f>
        <v>34120219650301339X</v>
      </c>
      <c r="P1872" s="23" t="s">
        <v>5526</v>
      </c>
      <c r="Q1872" s="23">
        <v>45099</v>
      </c>
      <c r="R1872" s="32">
        <v>45465</v>
      </c>
      <c r="V1872" s="33">
        <v>100</v>
      </c>
      <c r="W1872" s="28">
        <v>64.29</v>
      </c>
      <c r="X1872" s="34" t="s">
        <v>54</v>
      </c>
      <c r="Y1872" s="33">
        <v>64.29</v>
      </c>
      <c r="AC1872" s="28">
        <v>64.29</v>
      </c>
      <c r="AD1872" s="34" t="s">
        <v>54</v>
      </c>
      <c r="AE1872" s="33">
        <v>64.29</v>
      </c>
      <c r="AN1872" s="7" t="s">
        <v>54</v>
      </c>
      <c r="AO1872" s="7" t="s">
        <v>55</v>
      </c>
      <c r="AP1872" s="7" t="s">
        <v>56</v>
      </c>
      <c r="AT1872" s="47" t="s">
        <v>57</v>
      </c>
      <c r="AU1872" s="47" t="s">
        <v>57</v>
      </c>
    </row>
    <row r="1873" spans="1:47">
      <c r="A1873" s="4" t="s">
        <v>48</v>
      </c>
      <c r="C1873" s="21"/>
      <c r="D1873" s="22" t="s">
        <v>49</v>
      </c>
      <c r="G1873" s="23">
        <v>45097</v>
      </c>
      <c r="H1873" s="24" t="s">
        <v>5527</v>
      </c>
      <c r="J1873" s="28" t="s">
        <v>51</v>
      </c>
      <c r="L1873" s="24" t="s">
        <v>5528</v>
      </c>
      <c r="M1873" s="1" t="str">
        <f>"110106195608021558"</f>
        <v>110106195608021558</v>
      </c>
      <c r="N1873" s="24" t="s">
        <v>5528</v>
      </c>
      <c r="O1873" s="1" t="str">
        <f>"110106195608021558"</f>
        <v>110106195608021558</v>
      </c>
      <c r="P1873" s="23" t="s">
        <v>5529</v>
      </c>
      <c r="Q1873" s="23">
        <v>45308</v>
      </c>
      <c r="R1873" s="32">
        <v>45674</v>
      </c>
      <c r="V1873" s="33">
        <v>100</v>
      </c>
      <c r="W1873" s="28">
        <v>64.29</v>
      </c>
      <c r="X1873" s="34" t="s">
        <v>54</v>
      </c>
      <c r="Y1873" s="33">
        <v>64.29</v>
      </c>
      <c r="AC1873" s="28">
        <v>64.29</v>
      </c>
      <c r="AD1873" s="34" t="s">
        <v>54</v>
      </c>
      <c r="AE1873" s="33">
        <v>64.29</v>
      </c>
      <c r="AN1873" s="7" t="s">
        <v>54</v>
      </c>
      <c r="AO1873" s="7" t="s">
        <v>55</v>
      </c>
      <c r="AP1873" s="7" t="s">
        <v>56</v>
      </c>
      <c r="AT1873" s="47" t="s">
        <v>57</v>
      </c>
      <c r="AU1873" s="47" t="s">
        <v>57</v>
      </c>
    </row>
    <row r="1874" spans="1:47">
      <c r="A1874" s="4" t="s">
        <v>48</v>
      </c>
      <c r="C1874" s="21"/>
      <c r="D1874" s="22" t="s">
        <v>49</v>
      </c>
      <c r="G1874" s="23">
        <v>45090</v>
      </c>
      <c r="H1874" s="24" t="s">
        <v>5530</v>
      </c>
      <c r="J1874" s="28" t="s">
        <v>51</v>
      </c>
      <c r="L1874" s="24" t="s">
        <v>5531</v>
      </c>
      <c r="M1874" s="1" t="str">
        <f>"132821195402260534"</f>
        <v>132821195402260534</v>
      </c>
      <c r="N1874" s="24" t="s">
        <v>5531</v>
      </c>
      <c r="O1874" s="1" t="str">
        <f>"132821195402260534"</f>
        <v>132821195402260534</v>
      </c>
      <c r="P1874" s="23" t="s">
        <v>5532</v>
      </c>
      <c r="Q1874" s="23">
        <v>45091</v>
      </c>
      <c r="R1874" s="32">
        <v>45457</v>
      </c>
      <c r="V1874" s="33">
        <v>100</v>
      </c>
      <c r="W1874" s="28">
        <v>64.29</v>
      </c>
      <c r="X1874" s="34" t="s">
        <v>54</v>
      </c>
      <c r="Y1874" s="33">
        <v>64.29</v>
      </c>
      <c r="AC1874" s="28">
        <v>64.29</v>
      </c>
      <c r="AD1874" s="34" t="s">
        <v>54</v>
      </c>
      <c r="AE1874" s="33">
        <v>64.29</v>
      </c>
      <c r="AN1874" s="7" t="s">
        <v>54</v>
      </c>
      <c r="AO1874" s="7" t="s">
        <v>55</v>
      </c>
      <c r="AP1874" s="7" t="s">
        <v>56</v>
      </c>
      <c r="AT1874" s="47" t="s">
        <v>57</v>
      </c>
      <c r="AU1874" s="47" t="s">
        <v>57</v>
      </c>
    </row>
    <row r="1875" spans="1:47">
      <c r="A1875" s="4" t="s">
        <v>48</v>
      </c>
      <c r="C1875" s="21"/>
      <c r="D1875" s="22" t="s">
        <v>49</v>
      </c>
      <c r="G1875" s="23">
        <v>45075</v>
      </c>
      <c r="H1875" s="24" t="s">
        <v>5533</v>
      </c>
      <c r="J1875" s="28" t="s">
        <v>51</v>
      </c>
      <c r="L1875" s="24" t="s">
        <v>5534</v>
      </c>
      <c r="M1875" s="1" t="str">
        <f>"132821195208170519"</f>
        <v>132821195208170519</v>
      </c>
      <c r="N1875" s="24" t="s">
        <v>5534</v>
      </c>
      <c r="O1875" s="1" t="str">
        <f>"132821195208170519"</f>
        <v>132821195208170519</v>
      </c>
      <c r="P1875" s="23" t="s">
        <v>5535</v>
      </c>
      <c r="Q1875" s="23">
        <v>45076</v>
      </c>
      <c r="R1875" s="32">
        <v>45442</v>
      </c>
      <c r="V1875" s="33">
        <v>100</v>
      </c>
      <c r="W1875" s="28">
        <v>64.29</v>
      </c>
      <c r="X1875" s="34" t="s">
        <v>54</v>
      </c>
      <c r="Y1875" s="33">
        <v>64.29</v>
      </c>
      <c r="AC1875" s="28">
        <v>64.29</v>
      </c>
      <c r="AD1875" s="34" t="s">
        <v>54</v>
      </c>
      <c r="AE1875" s="33">
        <v>64.29</v>
      </c>
      <c r="AN1875" s="7" t="s">
        <v>54</v>
      </c>
      <c r="AO1875" s="7" t="s">
        <v>55</v>
      </c>
      <c r="AP1875" s="7" t="s">
        <v>56</v>
      </c>
      <c r="AT1875" s="47" t="s">
        <v>57</v>
      </c>
      <c r="AU1875" s="47" t="s">
        <v>57</v>
      </c>
    </row>
    <row r="1876" spans="1:47">
      <c r="A1876" s="4" t="s">
        <v>48</v>
      </c>
      <c r="C1876" s="21"/>
      <c r="D1876" s="22" t="s">
        <v>49</v>
      </c>
      <c r="G1876" s="23">
        <v>45075</v>
      </c>
      <c r="H1876" s="24" t="s">
        <v>5536</v>
      </c>
      <c r="J1876" s="28" t="s">
        <v>51</v>
      </c>
      <c r="L1876" s="24" t="s">
        <v>5537</v>
      </c>
      <c r="M1876" s="1" t="str">
        <f>"342122197806208296"</f>
        <v>342122197806208296</v>
      </c>
      <c r="N1876" s="24" t="s">
        <v>5537</v>
      </c>
      <c r="O1876" s="1" t="str">
        <f>"342122197806208296"</f>
        <v>342122197806208296</v>
      </c>
      <c r="P1876" s="23" t="s">
        <v>5538</v>
      </c>
      <c r="Q1876" s="23">
        <v>45076</v>
      </c>
      <c r="R1876" s="32">
        <v>45442</v>
      </c>
      <c r="V1876" s="33">
        <v>100</v>
      </c>
      <c r="W1876" s="28">
        <v>64.29</v>
      </c>
      <c r="X1876" s="34" t="s">
        <v>54</v>
      </c>
      <c r="Y1876" s="33">
        <v>64.29</v>
      </c>
      <c r="AC1876" s="28">
        <v>64.29</v>
      </c>
      <c r="AD1876" s="34" t="s">
        <v>54</v>
      </c>
      <c r="AE1876" s="33">
        <v>64.29</v>
      </c>
      <c r="AN1876" s="7" t="s">
        <v>54</v>
      </c>
      <c r="AO1876" s="7" t="s">
        <v>55</v>
      </c>
      <c r="AP1876" s="7" t="s">
        <v>56</v>
      </c>
      <c r="AT1876" s="47" t="s">
        <v>57</v>
      </c>
      <c r="AU1876" s="47" t="s">
        <v>57</v>
      </c>
    </row>
    <row r="1877" spans="1:47">
      <c r="A1877" s="4" t="s">
        <v>48</v>
      </c>
      <c r="C1877" s="21"/>
      <c r="D1877" s="22" t="s">
        <v>49</v>
      </c>
      <c r="G1877" s="23">
        <v>45075</v>
      </c>
      <c r="H1877" s="24" t="s">
        <v>5539</v>
      </c>
      <c r="J1877" s="28" t="s">
        <v>51</v>
      </c>
      <c r="L1877" s="24" t="s">
        <v>5540</v>
      </c>
      <c r="M1877" s="1" t="str">
        <f>"11010219600704194X"</f>
        <v>11010219600704194X</v>
      </c>
      <c r="N1877" s="24" t="s">
        <v>5540</v>
      </c>
      <c r="O1877" s="1" t="str">
        <f>"11010219600704194X"</f>
        <v>11010219600704194X</v>
      </c>
      <c r="P1877" s="23" t="s">
        <v>5541</v>
      </c>
      <c r="Q1877" s="23">
        <v>45170</v>
      </c>
      <c r="R1877" s="32">
        <v>45536</v>
      </c>
      <c r="V1877" s="33">
        <v>100</v>
      </c>
      <c r="W1877" s="28">
        <v>64.29</v>
      </c>
      <c r="X1877" s="34" t="s">
        <v>54</v>
      </c>
      <c r="Y1877" s="33">
        <v>64.29</v>
      </c>
      <c r="AC1877" s="28">
        <v>64.29</v>
      </c>
      <c r="AD1877" s="34" t="s">
        <v>54</v>
      </c>
      <c r="AE1877" s="33">
        <v>64.29</v>
      </c>
      <c r="AN1877" s="7" t="s">
        <v>54</v>
      </c>
      <c r="AO1877" s="7" t="s">
        <v>55</v>
      </c>
      <c r="AP1877" s="7" t="s">
        <v>56</v>
      </c>
      <c r="AT1877" s="47" t="s">
        <v>57</v>
      </c>
      <c r="AU1877" s="47" t="s">
        <v>57</v>
      </c>
    </row>
    <row r="1878" spans="1:47">
      <c r="A1878" s="4" t="s">
        <v>48</v>
      </c>
      <c r="C1878" s="21"/>
      <c r="D1878" s="22" t="s">
        <v>49</v>
      </c>
      <c r="G1878" s="23">
        <v>45075</v>
      </c>
      <c r="H1878" s="24" t="s">
        <v>5542</v>
      </c>
      <c r="J1878" s="28" t="s">
        <v>51</v>
      </c>
      <c r="L1878" s="24" t="s">
        <v>5543</v>
      </c>
      <c r="M1878" s="1" t="str">
        <f>"120222198901062923"</f>
        <v>120222198901062923</v>
      </c>
      <c r="N1878" s="24" t="s">
        <v>5543</v>
      </c>
      <c r="O1878" s="1" t="str">
        <f>"120222198901062923"</f>
        <v>120222198901062923</v>
      </c>
      <c r="P1878" s="23" t="s">
        <v>5544</v>
      </c>
      <c r="Q1878" s="23">
        <v>45136</v>
      </c>
      <c r="R1878" s="32">
        <v>45502</v>
      </c>
      <c r="V1878" s="33">
        <v>100</v>
      </c>
      <c r="W1878" s="28">
        <v>64.29</v>
      </c>
      <c r="X1878" s="34" t="s">
        <v>54</v>
      </c>
      <c r="Y1878" s="33">
        <v>64.29</v>
      </c>
      <c r="AC1878" s="28">
        <v>64.29</v>
      </c>
      <c r="AD1878" s="34" t="s">
        <v>54</v>
      </c>
      <c r="AE1878" s="33">
        <v>64.29</v>
      </c>
      <c r="AN1878" s="7" t="s">
        <v>54</v>
      </c>
      <c r="AO1878" s="7" t="s">
        <v>55</v>
      </c>
      <c r="AP1878" s="7" t="s">
        <v>56</v>
      </c>
      <c r="AT1878" s="47" t="s">
        <v>57</v>
      </c>
      <c r="AU1878" s="47" t="s">
        <v>57</v>
      </c>
    </row>
    <row r="1879" spans="1:47">
      <c r="A1879" s="4" t="s">
        <v>48</v>
      </c>
      <c r="C1879" s="21"/>
      <c r="D1879" s="22" t="s">
        <v>49</v>
      </c>
      <c r="G1879" s="23">
        <v>45075</v>
      </c>
      <c r="H1879" s="24" t="s">
        <v>5545</v>
      </c>
      <c r="J1879" s="28" t="s">
        <v>51</v>
      </c>
      <c r="L1879" s="24" t="s">
        <v>5546</v>
      </c>
      <c r="M1879" s="1" t="str">
        <f>"411626199703096112"</f>
        <v>411626199703096112</v>
      </c>
      <c r="N1879" s="24" t="s">
        <v>5546</v>
      </c>
      <c r="O1879" s="1" t="str">
        <f>"411626199703096112"</f>
        <v>411626199703096112</v>
      </c>
      <c r="P1879" s="23" t="s">
        <v>5547</v>
      </c>
      <c r="Q1879" s="23">
        <v>45076</v>
      </c>
      <c r="R1879" s="32">
        <v>45442</v>
      </c>
      <c r="V1879" s="33">
        <v>100</v>
      </c>
      <c r="W1879" s="28">
        <v>64.29</v>
      </c>
      <c r="X1879" s="34" t="s">
        <v>54</v>
      </c>
      <c r="Y1879" s="33">
        <v>64.29</v>
      </c>
      <c r="AC1879" s="28">
        <v>64.29</v>
      </c>
      <c r="AD1879" s="34" t="s">
        <v>54</v>
      </c>
      <c r="AE1879" s="33">
        <v>64.29</v>
      </c>
      <c r="AN1879" s="7" t="s">
        <v>54</v>
      </c>
      <c r="AO1879" s="7" t="s">
        <v>55</v>
      </c>
      <c r="AP1879" s="7" t="s">
        <v>56</v>
      </c>
      <c r="AT1879" s="47" t="s">
        <v>57</v>
      </c>
      <c r="AU1879" s="47" t="s">
        <v>57</v>
      </c>
    </row>
    <row r="1880" spans="1:47">
      <c r="A1880" s="4" t="s">
        <v>48</v>
      </c>
      <c r="C1880" s="21"/>
      <c r="D1880" s="22" t="s">
        <v>49</v>
      </c>
      <c r="G1880" s="23">
        <v>45086</v>
      </c>
      <c r="H1880" s="24" t="s">
        <v>5548</v>
      </c>
      <c r="J1880" s="28" t="s">
        <v>51</v>
      </c>
      <c r="L1880" s="24" t="s">
        <v>5549</v>
      </c>
      <c r="M1880" s="1" t="str">
        <f>"341202198908142367"</f>
        <v>341202198908142367</v>
      </c>
      <c r="N1880" s="24" t="s">
        <v>5549</v>
      </c>
      <c r="O1880" s="1" t="str">
        <f>"341202198908142367"</f>
        <v>341202198908142367</v>
      </c>
      <c r="P1880" s="23" t="s">
        <v>5550</v>
      </c>
      <c r="Q1880" s="23">
        <v>45087</v>
      </c>
      <c r="R1880" s="32">
        <v>45453</v>
      </c>
      <c r="V1880" s="33">
        <v>50</v>
      </c>
      <c r="W1880" s="28">
        <v>64.29</v>
      </c>
      <c r="X1880" s="34" t="s">
        <v>54</v>
      </c>
      <c r="Y1880" s="33">
        <v>32.15</v>
      </c>
      <c r="AC1880" s="28">
        <v>64.29</v>
      </c>
      <c r="AD1880" s="34" t="s">
        <v>54</v>
      </c>
      <c r="AE1880" s="33">
        <v>32.15</v>
      </c>
      <c r="AN1880" s="7" t="s">
        <v>54</v>
      </c>
      <c r="AO1880" s="7" t="s">
        <v>55</v>
      </c>
      <c r="AP1880" s="7" t="s">
        <v>56</v>
      </c>
      <c r="AT1880" s="47" t="s">
        <v>57</v>
      </c>
      <c r="AU1880" s="47" t="s">
        <v>57</v>
      </c>
    </row>
    <row r="1881" spans="1:47">
      <c r="A1881" s="4" t="s">
        <v>48</v>
      </c>
      <c r="C1881" s="21"/>
      <c r="D1881" s="22" t="s">
        <v>49</v>
      </c>
      <c r="G1881" s="23">
        <v>45085</v>
      </c>
      <c r="H1881" s="24" t="s">
        <v>5551</v>
      </c>
      <c r="J1881" s="28" t="s">
        <v>51</v>
      </c>
      <c r="L1881" s="24" t="s">
        <v>5552</v>
      </c>
      <c r="M1881" s="1" t="str">
        <f>"411526199803154214"</f>
        <v>411526199803154214</v>
      </c>
      <c r="N1881" s="24" t="s">
        <v>5552</v>
      </c>
      <c r="O1881" s="1" t="str">
        <f>"411526199803154214"</f>
        <v>411526199803154214</v>
      </c>
      <c r="P1881" s="23" t="s">
        <v>5553</v>
      </c>
      <c r="Q1881" s="23">
        <v>45086</v>
      </c>
      <c r="R1881" s="32">
        <v>45452</v>
      </c>
      <c r="V1881" s="33">
        <v>50</v>
      </c>
      <c r="W1881" s="28">
        <v>64.29</v>
      </c>
      <c r="X1881" s="34" t="s">
        <v>54</v>
      </c>
      <c r="Y1881" s="33">
        <v>32.15</v>
      </c>
      <c r="AC1881" s="28">
        <v>64.29</v>
      </c>
      <c r="AD1881" s="34" t="s">
        <v>54</v>
      </c>
      <c r="AE1881" s="33">
        <v>32.15</v>
      </c>
      <c r="AN1881" s="7" t="s">
        <v>54</v>
      </c>
      <c r="AO1881" s="7" t="s">
        <v>55</v>
      </c>
      <c r="AP1881" s="7" t="s">
        <v>56</v>
      </c>
      <c r="AT1881" s="47" t="s">
        <v>57</v>
      </c>
      <c r="AU1881" s="47" t="s">
        <v>57</v>
      </c>
    </row>
    <row r="1882" spans="1:47">
      <c r="A1882" s="4" t="s">
        <v>48</v>
      </c>
      <c r="C1882" s="21"/>
      <c r="D1882" s="22" t="s">
        <v>49</v>
      </c>
      <c r="G1882" s="23">
        <v>45086</v>
      </c>
      <c r="H1882" s="24" t="s">
        <v>5554</v>
      </c>
      <c r="J1882" s="28" t="s">
        <v>51</v>
      </c>
      <c r="L1882" s="24" t="s">
        <v>5555</v>
      </c>
      <c r="M1882" s="1" t="str">
        <f>"341202196507123529"</f>
        <v>341202196507123529</v>
      </c>
      <c r="N1882" s="24" t="s">
        <v>5555</v>
      </c>
      <c r="O1882" s="1" t="str">
        <f>"341202196507123529"</f>
        <v>341202196507123529</v>
      </c>
      <c r="P1882" s="23" t="s">
        <v>5556</v>
      </c>
      <c r="Q1882" s="23">
        <v>45087</v>
      </c>
      <c r="R1882" s="32">
        <v>45453</v>
      </c>
      <c r="V1882" s="33">
        <v>50</v>
      </c>
      <c r="W1882" s="28">
        <v>64.29</v>
      </c>
      <c r="X1882" s="34" t="s">
        <v>54</v>
      </c>
      <c r="Y1882" s="33">
        <v>32.15</v>
      </c>
      <c r="AC1882" s="28">
        <v>64.29</v>
      </c>
      <c r="AD1882" s="34" t="s">
        <v>54</v>
      </c>
      <c r="AE1882" s="33">
        <v>32.15</v>
      </c>
      <c r="AN1882" s="7" t="s">
        <v>54</v>
      </c>
      <c r="AO1882" s="7" t="s">
        <v>55</v>
      </c>
      <c r="AP1882" s="7" t="s">
        <v>56</v>
      </c>
      <c r="AT1882" s="47" t="s">
        <v>57</v>
      </c>
      <c r="AU1882" s="47" t="s">
        <v>57</v>
      </c>
    </row>
    <row r="1883" spans="1:47">
      <c r="A1883" s="4" t="s">
        <v>48</v>
      </c>
      <c r="C1883" s="21"/>
      <c r="D1883" s="22" t="s">
        <v>49</v>
      </c>
      <c r="G1883" s="23">
        <v>45086</v>
      </c>
      <c r="H1883" s="24" t="s">
        <v>5557</v>
      </c>
      <c r="J1883" s="28" t="s">
        <v>51</v>
      </c>
      <c r="L1883" s="24" t="s">
        <v>5558</v>
      </c>
      <c r="M1883" s="1" t="str">
        <f>"341204198407051232"</f>
        <v>341204198407051232</v>
      </c>
      <c r="N1883" s="24" t="s">
        <v>5558</v>
      </c>
      <c r="O1883" s="1" t="str">
        <f>"341204198407051232"</f>
        <v>341204198407051232</v>
      </c>
      <c r="P1883" s="23" t="s">
        <v>5559</v>
      </c>
      <c r="Q1883" s="23">
        <v>45087</v>
      </c>
      <c r="R1883" s="32">
        <v>45453</v>
      </c>
      <c r="V1883" s="33">
        <v>50</v>
      </c>
      <c r="W1883" s="28">
        <v>64.29</v>
      </c>
      <c r="X1883" s="34" t="s">
        <v>54</v>
      </c>
      <c r="Y1883" s="33">
        <v>32.15</v>
      </c>
      <c r="AC1883" s="28">
        <v>64.29</v>
      </c>
      <c r="AD1883" s="34" t="s">
        <v>54</v>
      </c>
      <c r="AE1883" s="33">
        <v>32.15</v>
      </c>
      <c r="AN1883" s="7" t="s">
        <v>54</v>
      </c>
      <c r="AO1883" s="7" t="s">
        <v>55</v>
      </c>
      <c r="AP1883" s="7" t="s">
        <v>56</v>
      </c>
      <c r="AT1883" s="47" t="s">
        <v>57</v>
      </c>
      <c r="AU1883" s="47" t="s">
        <v>57</v>
      </c>
    </row>
    <row r="1884" spans="1:47">
      <c r="A1884" s="4" t="s">
        <v>48</v>
      </c>
      <c r="C1884" s="21"/>
      <c r="D1884" s="22" t="s">
        <v>49</v>
      </c>
      <c r="G1884" s="23">
        <v>45086</v>
      </c>
      <c r="H1884" s="24" t="s">
        <v>5560</v>
      </c>
      <c r="J1884" s="28" t="s">
        <v>51</v>
      </c>
      <c r="L1884" s="24" t="s">
        <v>5561</v>
      </c>
      <c r="M1884" s="1" t="str">
        <f>"131082198710064158"</f>
        <v>131082198710064158</v>
      </c>
      <c r="N1884" s="24" t="s">
        <v>5561</v>
      </c>
      <c r="O1884" s="1" t="str">
        <f>"131082198710064158"</f>
        <v>131082198710064158</v>
      </c>
      <c r="P1884" s="23" t="s">
        <v>5562</v>
      </c>
      <c r="Q1884" s="23">
        <v>45087</v>
      </c>
      <c r="R1884" s="32">
        <v>45453</v>
      </c>
      <c r="V1884" s="33">
        <v>50</v>
      </c>
      <c r="W1884" s="28">
        <v>64.29</v>
      </c>
      <c r="X1884" s="34" t="s">
        <v>54</v>
      </c>
      <c r="Y1884" s="33">
        <v>32.15</v>
      </c>
      <c r="AC1884" s="28">
        <v>64.29</v>
      </c>
      <c r="AD1884" s="34" t="s">
        <v>54</v>
      </c>
      <c r="AE1884" s="33">
        <v>32.15</v>
      </c>
      <c r="AN1884" s="7" t="s">
        <v>54</v>
      </c>
      <c r="AO1884" s="7" t="s">
        <v>55</v>
      </c>
      <c r="AP1884" s="7" t="s">
        <v>56</v>
      </c>
      <c r="AT1884" s="47" t="s">
        <v>57</v>
      </c>
      <c r="AU1884" s="47" t="s">
        <v>57</v>
      </c>
    </row>
    <row r="1885" spans="1:47">
      <c r="A1885" s="4" t="s">
        <v>48</v>
      </c>
      <c r="C1885" s="21"/>
      <c r="D1885" s="22" t="s">
        <v>49</v>
      </c>
      <c r="G1885" s="23">
        <v>45098</v>
      </c>
      <c r="H1885" s="24" t="s">
        <v>5563</v>
      </c>
      <c r="J1885" s="28" t="s">
        <v>51</v>
      </c>
      <c r="L1885" s="24" t="s">
        <v>5564</v>
      </c>
      <c r="M1885" s="1" t="str">
        <f>"620402196310120436"</f>
        <v>620402196310120436</v>
      </c>
      <c r="N1885" s="24" t="s">
        <v>5564</v>
      </c>
      <c r="O1885" s="1" t="str">
        <f>"620402196310120436"</f>
        <v>620402196310120436</v>
      </c>
      <c r="P1885" s="23" t="s">
        <v>5565</v>
      </c>
      <c r="Q1885" s="23">
        <v>45221</v>
      </c>
      <c r="R1885" s="32">
        <v>45587</v>
      </c>
      <c r="V1885" s="33">
        <v>100</v>
      </c>
      <c r="W1885" s="28">
        <v>64.29</v>
      </c>
      <c r="X1885" s="34" t="s">
        <v>54</v>
      </c>
      <c r="Y1885" s="33">
        <v>64.29</v>
      </c>
      <c r="AC1885" s="28">
        <v>64.29</v>
      </c>
      <c r="AD1885" s="34" t="s">
        <v>54</v>
      </c>
      <c r="AE1885" s="33">
        <v>64.29</v>
      </c>
      <c r="AN1885" s="7" t="s">
        <v>54</v>
      </c>
      <c r="AO1885" s="7" t="s">
        <v>55</v>
      </c>
      <c r="AP1885" s="7" t="s">
        <v>56</v>
      </c>
      <c r="AT1885" s="47" t="s">
        <v>57</v>
      </c>
      <c r="AU1885" s="47" t="s">
        <v>57</v>
      </c>
    </row>
    <row r="1886" spans="1:47">
      <c r="A1886" s="4" t="s">
        <v>48</v>
      </c>
      <c r="C1886" s="21"/>
      <c r="D1886" s="22" t="s">
        <v>49</v>
      </c>
      <c r="G1886" s="23">
        <v>45098</v>
      </c>
      <c r="H1886" s="24" t="s">
        <v>5566</v>
      </c>
      <c r="J1886" s="28" t="s">
        <v>51</v>
      </c>
      <c r="L1886" s="24" t="s">
        <v>5567</v>
      </c>
      <c r="M1886" s="1" t="str">
        <f>"132821194904140511"</f>
        <v>132821194904140511</v>
      </c>
      <c r="N1886" s="24" t="s">
        <v>5567</v>
      </c>
      <c r="O1886" s="1" t="str">
        <f>"132821194904140511"</f>
        <v>132821194904140511</v>
      </c>
      <c r="P1886" s="23" t="s">
        <v>5568</v>
      </c>
      <c r="Q1886" s="23">
        <v>45099</v>
      </c>
      <c r="R1886" s="32">
        <v>45465</v>
      </c>
      <c r="V1886" s="33">
        <v>100</v>
      </c>
      <c r="W1886" s="28">
        <v>64.29</v>
      </c>
      <c r="X1886" s="34" t="s">
        <v>54</v>
      </c>
      <c r="Y1886" s="33">
        <v>64.29</v>
      </c>
      <c r="AC1886" s="28">
        <v>64.29</v>
      </c>
      <c r="AD1886" s="34" t="s">
        <v>54</v>
      </c>
      <c r="AE1886" s="33">
        <v>64.29</v>
      </c>
      <c r="AN1886" s="7" t="s">
        <v>54</v>
      </c>
      <c r="AO1886" s="7" t="s">
        <v>55</v>
      </c>
      <c r="AP1886" s="7" t="s">
        <v>56</v>
      </c>
      <c r="AT1886" s="47" t="s">
        <v>57</v>
      </c>
      <c r="AU1886" s="47" t="s">
        <v>57</v>
      </c>
    </row>
    <row r="1887" spans="1:47">
      <c r="A1887" s="4" t="s">
        <v>48</v>
      </c>
      <c r="C1887" s="21"/>
      <c r="D1887" s="22" t="s">
        <v>49</v>
      </c>
      <c r="G1887" s="23">
        <v>45097</v>
      </c>
      <c r="H1887" s="24" t="s">
        <v>5569</v>
      </c>
      <c r="J1887" s="28" t="s">
        <v>51</v>
      </c>
      <c r="L1887" s="24" t="s">
        <v>5570</v>
      </c>
      <c r="M1887" s="1" t="str">
        <f>"341227198805027101"</f>
        <v>341227198805027101</v>
      </c>
      <c r="N1887" s="24" t="s">
        <v>5570</v>
      </c>
      <c r="O1887" s="1" t="str">
        <f>"341227198805027101"</f>
        <v>341227198805027101</v>
      </c>
      <c r="P1887" s="23" t="s">
        <v>5571</v>
      </c>
      <c r="Q1887" s="23">
        <v>45098</v>
      </c>
      <c r="R1887" s="32">
        <v>45464</v>
      </c>
      <c r="V1887" s="33">
        <v>100</v>
      </c>
      <c r="W1887" s="28">
        <v>64.29</v>
      </c>
      <c r="X1887" s="34" t="s">
        <v>54</v>
      </c>
      <c r="Y1887" s="33">
        <v>64.29</v>
      </c>
      <c r="AC1887" s="28">
        <v>64.29</v>
      </c>
      <c r="AD1887" s="34" t="s">
        <v>54</v>
      </c>
      <c r="AE1887" s="33">
        <v>64.29</v>
      </c>
      <c r="AN1887" s="7" t="s">
        <v>54</v>
      </c>
      <c r="AO1887" s="7" t="s">
        <v>55</v>
      </c>
      <c r="AP1887" s="7" t="s">
        <v>56</v>
      </c>
      <c r="AT1887" s="47" t="s">
        <v>57</v>
      </c>
      <c r="AU1887" s="47" t="s">
        <v>57</v>
      </c>
    </row>
    <row r="1888" spans="1:47">
      <c r="A1888" s="4" t="s">
        <v>48</v>
      </c>
      <c r="C1888" s="21"/>
      <c r="D1888" s="22" t="s">
        <v>49</v>
      </c>
      <c r="G1888" s="23">
        <v>45097</v>
      </c>
      <c r="H1888" s="24" t="s">
        <v>5572</v>
      </c>
      <c r="J1888" s="28" t="s">
        <v>51</v>
      </c>
      <c r="L1888" s="24" t="s">
        <v>5573</v>
      </c>
      <c r="M1888" s="1" t="str">
        <f>"131082197001060512"</f>
        <v>131082197001060512</v>
      </c>
      <c r="N1888" s="24" t="s">
        <v>5573</v>
      </c>
      <c r="O1888" s="1" t="str">
        <f>"131082197001060512"</f>
        <v>131082197001060512</v>
      </c>
      <c r="P1888" s="23" t="s">
        <v>5574</v>
      </c>
      <c r="Q1888" s="23">
        <v>45220</v>
      </c>
      <c r="R1888" s="32">
        <v>45586</v>
      </c>
      <c r="V1888" s="33">
        <v>100</v>
      </c>
      <c r="W1888" s="28">
        <v>64.29</v>
      </c>
      <c r="X1888" s="34" t="s">
        <v>54</v>
      </c>
      <c r="Y1888" s="33">
        <v>64.29</v>
      </c>
      <c r="AC1888" s="28">
        <v>64.29</v>
      </c>
      <c r="AD1888" s="34" t="s">
        <v>54</v>
      </c>
      <c r="AE1888" s="33">
        <v>64.29</v>
      </c>
      <c r="AN1888" s="7" t="s">
        <v>54</v>
      </c>
      <c r="AO1888" s="7" t="s">
        <v>55</v>
      </c>
      <c r="AP1888" s="7" t="s">
        <v>56</v>
      </c>
      <c r="AT1888" s="47" t="s">
        <v>57</v>
      </c>
      <c r="AU1888" s="47" t="s">
        <v>57</v>
      </c>
    </row>
    <row r="1889" spans="1:47">
      <c r="A1889" s="4" t="s">
        <v>48</v>
      </c>
      <c r="C1889" s="21"/>
      <c r="D1889" s="22" t="s">
        <v>49</v>
      </c>
      <c r="G1889" s="23">
        <v>45086</v>
      </c>
      <c r="H1889" s="24" t="s">
        <v>5575</v>
      </c>
      <c r="J1889" s="28" t="s">
        <v>51</v>
      </c>
      <c r="L1889" s="24" t="s">
        <v>5576</v>
      </c>
      <c r="M1889" s="1" t="str">
        <f>"230505197403140512"</f>
        <v>230505197403140512</v>
      </c>
      <c r="N1889" s="24" t="s">
        <v>5576</v>
      </c>
      <c r="O1889" s="1" t="str">
        <f>"230505197403140512"</f>
        <v>230505197403140512</v>
      </c>
      <c r="P1889" s="23" t="s">
        <v>5577</v>
      </c>
      <c r="Q1889" s="23">
        <v>45291</v>
      </c>
      <c r="R1889" s="32">
        <v>45657</v>
      </c>
      <c r="V1889" s="33">
        <v>100</v>
      </c>
      <c r="W1889" s="28">
        <v>64.29</v>
      </c>
      <c r="X1889" s="34" t="s">
        <v>54</v>
      </c>
      <c r="Y1889" s="33">
        <v>64.29</v>
      </c>
      <c r="AC1889" s="28">
        <v>64.29</v>
      </c>
      <c r="AD1889" s="34" t="s">
        <v>54</v>
      </c>
      <c r="AE1889" s="33">
        <v>64.29</v>
      </c>
      <c r="AN1889" s="7" t="s">
        <v>54</v>
      </c>
      <c r="AO1889" s="7" t="s">
        <v>55</v>
      </c>
      <c r="AP1889" s="7" t="s">
        <v>56</v>
      </c>
      <c r="AT1889" s="47" t="s">
        <v>57</v>
      </c>
      <c r="AU1889" s="47" t="s">
        <v>57</v>
      </c>
    </row>
    <row r="1890" spans="1:47">
      <c r="A1890" s="4" t="s">
        <v>48</v>
      </c>
      <c r="C1890" s="21"/>
      <c r="D1890" s="22" t="s">
        <v>49</v>
      </c>
      <c r="G1890" s="23">
        <v>45085</v>
      </c>
      <c r="H1890" s="24" t="s">
        <v>5578</v>
      </c>
      <c r="J1890" s="28" t="s">
        <v>51</v>
      </c>
      <c r="L1890" s="24" t="s">
        <v>5579</v>
      </c>
      <c r="M1890" s="1" t="str">
        <f>"340602198604050624"</f>
        <v>340602198604050624</v>
      </c>
      <c r="N1890" s="24" t="s">
        <v>5579</v>
      </c>
      <c r="O1890" s="1" t="str">
        <f>"340602198604050624"</f>
        <v>340602198604050624</v>
      </c>
      <c r="P1890" s="23" t="s">
        <v>5580</v>
      </c>
      <c r="Q1890" s="23">
        <v>45086</v>
      </c>
      <c r="R1890" s="32">
        <v>45452</v>
      </c>
      <c r="V1890" s="33">
        <v>100</v>
      </c>
      <c r="W1890" s="28">
        <v>64.29</v>
      </c>
      <c r="X1890" s="34" t="s">
        <v>54</v>
      </c>
      <c r="Y1890" s="33">
        <v>64.29</v>
      </c>
      <c r="AC1890" s="28">
        <v>64.29</v>
      </c>
      <c r="AD1890" s="34" t="s">
        <v>54</v>
      </c>
      <c r="AE1890" s="33">
        <v>64.29</v>
      </c>
      <c r="AN1890" s="7" t="s">
        <v>54</v>
      </c>
      <c r="AO1890" s="7" t="s">
        <v>55</v>
      </c>
      <c r="AP1890" s="7" t="s">
        <v>56</v>
      </c>
      <c r="AT1890" s="47" t="s">
        <v>57</v>
      </c>
      <c r="AU1890" s="47" t="s">
        <v>57</v>
      </c>
    </row>
    <row r="1891" spans="1:47">
      <c r="A1891" s="4" t="s">
        <v>48</v>
      </c>
      <c r="C1891" s="21"/>
      <c r="D1891" s="22" t="s">
        <v>49</v>
      </c>
      <c r="G1891" s="23">
        <v>45087</v>
      </c>
      <c r="H1891" s="24" t="s">
        <v>5581</v>
      </c>
      <c r="J1891" s="28" t="s">
        <v>51</v>
      </c>
      <c r="L1891" s="24" t="s">
        <v>5582</v>
      </c>
      <c r="M1891" s="1" t="str">
        <f>"341221199602024417"</f>
        <v>341221199602024417</v>
      </c>
      <c r="N1891" s="24" t="s">
        <v>5582</v>
      </c>
      <c r="O1891" s="1" t="str">
        <f>"341221199602024417"</f>
        <v>341221199602024417</v>
      </c>
      <c r="P1891" s="23" t="s">
        <v>5583</v>
      </c>
      <c r="Q1891" s="23">
        <v>45088</v>
      </c>
      <c r="R1891" s="32">
        <v>45454</v>
      </c>
      <c r="V1891" s="33">
        <v>100</v>
      </c>
      <c r="W1891" s="28">
        <v>64.29</v>
      </c>
      <c r="X1891" s="34" t="s">
        <v>54</v>
      </c>
      <c r="Y1891" s="33">
        <v>64.29</v>
      </c>
      <c r="AC1891" s="28">
        <v>64.29</v>
      </c>
      <c r="AD1891" s="34" t="s">
        <v>54</v>
      </c>
      <c r="AE1891" s="33">
        <v>64.29</v>
      </c>
      <c r="AN1891" s="7" t="s">
        <v>54</v>
      </c>
      <c r="AO1891" s="7" t="s">
        <v>55</v>
      </c>
      <c r="AP1891" s="7" t="s">
        <v>56</v>
      </c>
      <c r="AT1891" s="47" t="s">
        <v>57</v>
      </c>
      <c r="AU1891" s="47" t="s">
        <v>57</v>
      </c>
    </row>
    <row r="1892" spans="1:47">
      <c r="A1892" s="4" t="s">
        <v>48</v>
      </c>
      <c r="C1892" s="21"/>
      <c r="D1892" s="22" t="s">
        <v>49</v>
      </c>
      <c r="G1892" s="23">
        <v>45087</v>
      </c>
      <c r="H1892" s="24" t="s">
        <v>5584</v>
      </c>
      <c r="J1892" s="28" t="s">
        <v>51</v>
      </c>
      <c r="L1892" s="24" t="s">
        <v>5585</v>
      </c>
      <c r="M1892" s="1" t="str">
        <f>"132821196311180277"</f>
        <v>132821196311180277</v>
      </c>
      <c r="N1892" s="24" t="s">
        <v>5585</v>
      </c>
      <c r="O1892" s="1" t="str">
        <f>"132821196311180277"</f>
        <v>132821196311180277</v>
      </c>
      <c r="P1892" s="23" t="s">
        <v>5586</v>
      </c>
      <c r="Q1892" s="23">
        <v>45088</v>
      </c>
      <c r="R1892" s="32">
        <v>45454</v>
      </c>
      <c r="V1892" s="33">
        <v>100</v>
      </c>
      <c r="W1892" s="28">
        <v>64.29</v>
      </c>
      <c r="X1892" s="34" t="s">
        <v>54</v>
      </c>
      <c r="Y1892" s="33">
        <v>64.29</v>
      </c>
      <c r="AC1892" s="28">
        <v>64.29</v>
      </c>
      <c r="AD1892" s="34" t="s">
        <v>54</v>
      </c>
      <c r="AE1892" s="33">
        <v>64.29</v>
      </c>
      <c r="AN1892" s="7" t="s">
        <v>54</v>
      </c>
      <c r="AO1892" s="7" t="s">
        <v>55</v>
      </c>
      <c r="AP1892" s="7" t="s">
        <v>56</v>
      </c>
      <c r="AT1892" s="47" t="s">
        <v>57</v>
      </c>
      <c r="AU1892" s="47" t="s">
        <v>57</v>
      </c>
    </row>
    <row r="1893" spans="1:47">
      <c r="A1893" s="4" t="s">
        <v>48</v>
      </c>
      <c r="C1893" s="21"/>
      <c r="D1893" s="22" t="s">
        <v>49</v>
      </c>
      <c r="G1893" s="23">
        <v>45085</v>
      </c>
      <c r="H1893" s="24" t="s">
        <v>5587</v>
      </c>
      <c r="J1893" s="28" t="s">
        <v>51</v>
      </c>
      <c r="L1893" s="24" t="s">
        <v>5588</v>
      </c>
      <c r="M1893" s="1" t="str">
        <f>"341203197203082239"</f>
        <v>341203197203082239</v>
      </c>
      <c r="N1893" s="24" t="s">
        <v>5588</v>
      </c>
      <c r="O1893" s="1" t="str">
        <f>"341203197203082239"</f>
        <v>341203197203082239</v>
      </c>
      <c r="P1893" s="23" t="s">
        <v>5589</v>
      </c>
      <c r="Q1893" s="23">
        <v>45177</v>
      </c>
      <c r="R1893" s="32">
        <v>45543</v>
      </c>
      <c r="V1893" s="33">
        <v>100</v>
      </c>
      <c r="W1893" s="28">
        <v>64.29</v>
      </c>
      <c r="X1893" s="34" t="s">
        <v>54</v>
      </c>
      <c r="Y1893" s="33">
        <v>64.29</v>
      </c>
      <c r="AC1893" s="28">
        <v>64.29</v>
      </c>
      <c r="AD1893" s="34" t="s">
        <v>54</v>
      </c>
      <c r="AE1893" s="33">
        <v>64.29</v>
      </c>
      <c r="AN1893" s="7" t="s">
        <v>54</v>
      </c>
      <c r="AO1893" s="7" t="s">
        <v>55</v>
      </c>
      <c r="AP1893" s="7" t="s">
        <v>56</v>
      </c>
      <c r="AT1893" s="47" t="s">
        <v>57</v>
      </c>
      <c r="AU1893" s="47" t="s">
        <v>57</v>
      </c>
    </row>
    <row r="1894" spans="1:47">
      <c r="A1894" s="4" t="s">
        <v>48</v>
      </c>
      <c r="C1894" s="21"/>
      <c r="D1894" s="22" t="s">
        <v>49</v>
      </c>
      <c r="G1894" s="23">
        <v>45072</v>
      </c>
      <c r="H1894" s="24" t="s">
        <v>5590</v>
      </c>
      <c r="J1894" s="28" t="s">
        <v>51</v>
      </c>
      <c r="L1894" s="24" t="s">
        <v>5591</v>
      </c>
      <c r="M1894" s="1" t="str">
        <f>"131082198808041085"</f>
        <v>131082198808041085</v>
      </c>
      <c r="N1894" s="24" t="s">
        <v>5591</v>
      </c>
      <c r="O1894" s="1" t="str">
        <f>"131082198808041085"</f>
        <v>131082198808041085</v>
      </c>
      <c r="P1894" s="23" t="s">
        <v>5592</v>
      </c>
      <c r="Q1894" s="23">
        <v>45073</v>
      </c>
      <c r="R1894" s="32">
        <v>45439</v>
      </c>
      <c r="V1894" s="33">
        <v>100</v>
      </c>
      <c r="W1894" s="28">
        <v>64.29</v>
      </c>
      <c r="X1894" s="34" t="s">
        <v>54</v>
      </c>
      <c r="Y1894" s="33">
        <v>64.29</v>
      </c>
      <c r="AC1894" s="28">
        <v>64.29</v>
      </c>
      <c r="AD1894" s="34" t="s">
        <v>54</v>
      </c>
      <c r="AE1894" s="33">
        <v>64.29</v>
      </c>
      <c r="AN1894" s="7" t="s">
        <v>54</v>
      </c>
      <c r="AO1894" s="7" t="s">
        <v>55</v>
      </c>
      <c r="AP1894" s="7" t="s">
        <v>56</v>
      </c>
      <c r="AT1894" s="47" t="s">
        <v>57</v>
      </c>
      <c r="AU1894" s="47" t="s">
        <v>57</v>
      </c>
    </row>
    <row r="1895" spans="1:47">
      <c r="A1895" s="4" t="s">
        <v>48</v>
      </c>
      <c r="C1895" s="21"/>
      <c r="D1895" s="22" t="s">
        <v>49</v>
      </c>
      <c r="G1895" s="23">
        <v>45072</v>
      </c>
      <c r="H1895" s="24" t="s">
        <v>5593</v>
      </c>
      <c r="J1895" s="28" t="s">
        <v>51</v>
      </c>
      <c r="L1895" s="24" t="s">
        <v>5594</v>
      </c>
      <c r="M1895" s="1" t="str">
        <f>"132821195912210043"</f>
        <v>132821195912210043</v>
      </c>
      <c r="N1895" s="24" t="s">
        <v>5594</v>
      </c>
      <c r="O1895" s="1" t="str">
        <f>"132821195912210043"</f>
        <v>132821195912210043</v>
      </c>
      <c r="P1895" s="23" t="s">
        <v>5595</v>
      </c>
      <c r="Q1895" s="23">
        <v>45133</v>
      </c>
      <c r="R1895" s="32">
        <v>45499</v>
      </c>
      <c r="V1895" s="33">
        <v>100</v>
      </c>
      <c r="W1895" s="28">
        <v>64.29</v>
      </c>
      <c r="X1895" s="34" t="s">
        <v>54</v>
      </c>
      <c r="Y1895" s="33">
        <v>64.29</v>
      </c>
      <c r="AC1895" s="28">
        <v>64.29</v>
      </c>
      <c r="AD1895" s="34" t="s">
        <v>54</v>
      </c>
      <c r="AE1895" s="33">
        <v>64.29</v>
      </c>
      <c r="AN1895" s="7" t="s">
        <v>54</v>
      </c>
      <c r="AO1895" s="7" t="s">
        <v>55</v>
      </c>
      <c r="AP1895" s="7" t="s">
        <v>56</v>
      </c>
      <c r="AT1895" s="47" t="s">
        <v>57</v>
      </c>
      <c r="AU1895" s="47" t="s">
        <v>57</v>
      </c>
    </row>
    <row r="1896" spans="1:47">
      <c r="A1896" s="4" t="s">
        <v>48</v>
      </c>
      <c r="C1896" s="21"/>
      <c r="D1896" s="22" t="s">
        <v>49</v>
      </c>
      <c r="G1896" s="23">
        <v>45072</v>
      </c>
      <c r="H1896" s="24" t="s">
        <v>5596</v>
      </c>
      <c r="J1896" s="28" t="s">
        <v>51</v>
      </c>
      <c r="L1896" s="24" t="s">
        <v>5597</v>
      </c>
      <c r="M1896" s="1" t="str">
        <f>"13108219870721002X"</f>
        <v>13108219870721002X</v>
      </c>
      <c r="N1896" s="24" t="s">
        <v>5597</v>
      </c>
      <c r="O1896" s="1" t="str">
        <f>"13108219870721002X"</f>
        <v>13108219870721002X</v>
      </c>
      <c r="P1896" s="23" t="s">
        <v>5598</v>
      </c>
      <c r="Q1896" s="23">
        <v>45073</v>
      </c>
      <c r="R1896" s="32">
        <v>45439</v>
      </c>
      <c r="V1896" s="33">
        <v>100</v>
      </c>
      <c r="W1896" s="28">
        <v>64.29</v>
      </c>
      <c r="X1896" s="34" t="s">
        <v>54</v>
      </c>
      <c r="Y1896" s="33">
        <v>64.29</v>
      </c>
      <c r="AC1896" s="28">
        <v>64.29</v>
      </c>
      <c r="AD1896" s="34" t="s">
        <v>54</v>
      </c>
      <c r="AE1896" s="33">
        <v>64.29</v>
      </c>
      <c r="AN1896" s="7" t="s">
        <v>54</v>
      </c>
      <c r="AO1896" s="7" t="s">
        <v>55</v>
      </c>
      <c r="AP1896" s="7" t="s">
        <v>56</v>
      </c>
      <c r="AT1896" s="47" t="s">
        <v>57</v>
      </c>
      <c r="AU1896" s="47" t="s">
        <v>57</v>
      </c>
    </row>
    <row r="1897" spans="1:47">
      <c r="A1897" s="4" t="s">
        <v>48</v>
      </c>
      <c r="C1897" s="21"/>
      <c r="D1897" s="22" t="s">
        <v>49</v>
      </c>
      <c r="G1897" s="23">
        <v>45072</v>
      </c>
      <c r="H1897" s="24" t="s">
        <v>5599</v>
      </c>
      <c r="J1897" s="28" t="s">
        <v>51</v>
      </c>
      <c r="L1897" s="24" t="s">
        <v>5600</v>
      </c>
      <c r="M1897" s="1" t="str">
        <f>"211421199310250027"</f>
        <v>211421199310250027</v>
      </c>
      <c r="N1897" s="24" t="s">
        <v>5600</v>
      </c>
      <c r="O1897" s="1" t="str">
        <f>"211421199310250027"</f>
        <v>211421199310250027</v>
      </c>
      <c r="P1897" s="23" t="s">
        <v>5601</v>
      </c>
      <c r="Q1897" s="23">
        <v>45073</v>
      </c>
      <c r="R1897" s="32">
        <v>45439</v>
      </c>
      <c r="V1897" s="33">
        <v>100</v>
      </c>
      <c r="W1897" s="28">
        <v>64.29</v>
      </c>
      <c r="X1897" s="34" t="s">
        <v>54</v>
      </c>
      <c r="Y1897" s="33">
        <v>64.29</v>
      </c>
      <c r="AC1897" s="28">
        <v>64.29</v>
      </c>
      <c r="AD1897" s="34" t="s">
        <v>54</v>
      </c>
      <c r="AE1897" s="33">
        <v>64.29</v>
      </c>
      <c r="AN1897" s="7" t="s">
        <v>54</v>
      </c>
      <c r="AO1897" s="7" t="s">
        <v>55</v>
      </c>
      <c r="AP1897" s="7" t="s">
        <v>56</v>
      </c>
      <c r="AT1897" s="47" t="s">
        <v>57</v>
      </c>
      <c r="AU1897" s="47" t="s">
        <v>57</v>
      </c>
    </row>
    <row r="1898" spans="1:47">
      <c r="A1898" s="4" t="s">
        <v>48</v>
      </c>
      <c r="C1898" s="21"/>
      <c r="D1898" s="22" t="s">
        <v>49</v>
      </c>
      <c r="G1898" s="23">
        <v>45072</v>
      </c>
      <c r="H1898" s="24" t="s">
        <v>5602</v>
      </c>
      <c r="J1898" s="28" t="s">
        <v>51</v>
      </c>
      <c r="L1898" s="24" t="s">
        <v>5603</v>
      </c>
      <c r="M1898" s="1" t="str">
        <f>"130731199007255018"</f>
        <v>130731199007255018</v>
      </c>
      <c r="N1898" s="24" t="s">
        <v>5603</v>
      </c>
      <c r="O1898" s="1" t="str">
        <f>"130731199007255018"</f>
        <v>130731199007255018</v>
      </c>
      <c r="P1898" s="23" t="s">
        <v>5604</v>
      </c>
      <c r="Q1898" s="23">
        <v>45078</v>
      </c>
      <c r="R1898" s="32">
        <v>45444</v>
      </c>
      <c r="V1898" s="33">
        <v>100</v>
      </c>
      <c r="W1898" s="28">
        <v>64.29</v>
      </c>
      <c r="X1898" s="34" t="s">
        <v>54</v>
      </c>
      <c r="Y1898" s="33">
        <v>64.29</v>
      </c>
      <c r="AC1898" s="28">
        <v>64.29</v>
      </c>
      <c r="AD1898" s="34" t="s">
        <v>54</v>
      </c>
      <c r="AE1898" s="33">
        <v>64.29</v>
      </c>
      <c r="AN1898" s="7" t="s">
        <v>54</v>
      </c>
      <c r="AO1898" s="7" t="s">
        <v>55</v>
      </c>
      <c r="AP1898" s="7" t="s">
        <v>56</v>
      </c>
      <c r="AT1898" s="47" t="s">
        <v>57</v>
      </c>
      <c r="AU1898" s="47" t="s">
        <v>57</v>
      </c>
    </row>
    <row r="1899" spans="1:47">
      <c r="A1899" s="4" t="s">
        <v>48</v>
      </c>
      <c r="C1899" s="21"/>
      <c r="D1899" s="22" t="s">
        <v>49</v>
      </c>
      <c r="G1899" s="23">
        <v>45072</v>
      </c>
      <c r="H1899" s="24" t="s">
        <v>5605</v>
      </c>
      <c r="J1899" s="28" t="s">
        <v>51</v>
      </c>
      <c r="L1899" s="24" t="s">
        <v>5606</v>
      </c>
      <c r="M1899" s="1" t="str">
        <f>"130705197801180621"</f>
        <v>130705197801180621</v>
      </c>
      <c r="N1899" s="24" t="s">
        <v>5606</v>
      </c>
      <c r="O1899" s="1" t="str">
        <f>"130705197801180621"</f>
        <v>130705197801180621</v>
      </c>
      <c r="P1899" s="23" t="s">
        <v>5607</v>
      </c>
      <c r="Q1899" s="23">
        <v>45133</v>
      </c>
      <c r="R1899" s="32">
        <v>45499</v>
      </c>
      <c r="V1899" s="33">
        <v>100</v>
      </c>
      <c r="W1899" s="28">
        <v>64.29</v>
      </c>
      <c r="X1899" s="34" t="s">
        <v>54</v>
      </c>
      <c r="Y1899" s="33">
        <v>64.29</v>
      </c>
      <c r="AC1899" s="28">
        <v>64.29</v>
      </c>
      <c r="AD1899" s="34" t="s">
        <v>54</v>
      </c>
      <c r="AE1899" s="33">
        <v>64.29</v>
      </c>
      <c r="AN1899" s="7" t="s">
        <v>54</v>
      </c>
      <c r="AO1899" s="7" t="s">
        <v>55</v>
      </c>
      <c r="AP1899" s="7" t="s">
        <v>56</v>
      </c>
      <c r="AT1899" s="47" t="s">
        <v>57</v>
      </c>
      <c r="AU1899" s="47" t="s">
        <v>57</v>
      </c>
    </row>
    <row r="1900" spans="1:47">
      <c r="A1900" s="4" t="s">
        <v>48</v>
      </c>
      <c r="C1900" s="21"/>
      <c r="D1900" s="22" t="s">
        <v>49</v>
      </c>
      <c r="G1900" s="23">
        <v>45086</v>
      </c>
      <c r="H1900" s="24" t="s">
        <v>5608</v>
      </c>
      <c r="J1900" s="28" t="s">
        <v>51</v>
      </c>
      <c r="L1900" s="24" t="s">
        <v>5609</v>
      </c>
      <c r="M1900" s="1" t="str">
        <f>"130731199402040615"</f>
        <v>130731199402040615</v>
      </c>
      <c r="N1900" s="24" t="s">
        <v>5609</v>
      </c>
      <c r="O1900" s="1" t="str">
        <f>"130731199402040615"</f>
        <v>130731199402040615</v>
      </c>
      <c r="P1900" s="23" t="s">
        <v>5610</v>
      </c>
      <c r="Q1900" s="23">
        <v>45087</v>
      </c>
      <c r="R1900" s="32">
        <v>45453</v>
      </c>
      <c r="V1900" s="33">
        <v>50</v>
      </c>
      <c r="W1900" s="28">
        <v>64.29</v>
      </c>
      <c r="X1900" s="34" t="s">
        <v>54</v>
      </c>
      <c r="Y1900" s="33">
        <v>32.15</v>
      </c>
      <c r="AC1900" s="28">
        <v>64.29</v>
      </c>
      <c r="AD1900" s="34" t="s">
        <v>54</v>
      </c>
      <c r="AE1900" s="33">
        <v>32.15</v>
      </c>
      <c r="AN1900" s="7" t="s">
        <v>54</v>
      </c>
      <c r="AO1900" s="7" t="s">
        <v>55</v>
      </c>
      <c r="AP1900" s="7" t="s">
        <v>56</v>
      </c>
      <c r="AT1900" s="47" t="s">
        <v>57</v>
      </c>
      <c r="AU1900" s="47" t="s">
        <v>57</v>
      </c>
    </row>
    <row r="1901" spans="1:47">
      <c r="A1901" s="4" t="s">
        <v>48</v>
      </c>
      <c r="C1901" s="21"/>
      <c r="D1901" s="22" t="s">
        <v>49</v>
      </c>
      <c r="G1901" s="23">
        <v>45083</v>
      </c>
      <c r="H1901" s="24" t="s">
        <v>5611</v>
      </c>
      <c r="J1901" s="28" t="s">
        <v>51</v>
      </c>
      <c r="L1901" s="24" t="s">
        <v>5612</v>
      </c>
      <c r="M1901" s="1" t="str">
        <f>"132822197311192033"</f>
        <v>132822197311192033</v>
      </c>
      <c r="N1901" s="24" t="s">
        <v>5612</v>
      </c>
      <c r="O1901" s="1" t="str">
        <f>"132822197311192033"</f>
        <v>132822197311192033</v>
      </c>
      <c r="P1901" s="23" t="s">
        <v>5613</v>
      </c>
      <c r="Q1901" s="23">
        <v>45084</v>
      </c>
      <c r="R1901" s="32">
        <v>45450</v>
      </c>
      <c r="V1901" s="33">
        <v>50</v>
      </c>
      <c r="W1901" s="28">
        <v>64.29</v>
      </c>
      <c r="X1901" s="34" t="s">
        <v>54</v>
      </c>
      <c r="Y1901" s="33">
        <v>32.15</v>
      </c>
      <c r="AC1901" s="28">
        <v>64.29</v>
      </c>
      <c r="AD1901" s="34" t="s">
        <v>54</v>
      </c>
      <c r="AE1901" s="33">
        <v>32.15</v>
      </c>
      <c r="AN1901" s="7" t="s">
        <v>54</v>
      </c>
      <c r="AO1901" s="7" t="s">
        <v>55</v>
      </c>
      <c r="AP1901" s="7" t="s">
        <v>56</v>
      </c>
      <c r="AT1901" s="47" t="s">
        <v>57</v>
      </c>
      <c r="AU1901" s="47" t="s">
        <v>57</v>
      </c>
    </row>
    <row r="1902" spans="1:47">
      <c r="A1902" s="4" t="s">
        <v>48</v>
      </c>
      <c r="C1902" s="21"/>
      <c r="D1902" s="22" t="s">
        <v>49</v>
      </c>
      <c r="G1902" s="23">
        <v>45083</v>
      </c>
      <c r="H1902" s="24" t="s">
        <v>5614</v>
      </c>
      <c r="J1902" s="28" t="s">
        <v>51</v>
      </c>
      <c r="L1902" s="24" t="s">
        <v>5615</v>
      </c>
      <c r="M1902" s="1" t="str">
        <f>"341227199301091550"</f>
        <v>341227199301091550</v>
      </c>
      <c r="N1902" s="24" t="s">
        <v>5615</v>
      </c>
      <c r="O1902" s="1" t="str">
        <f>"341227199301091550"</f>
        <v>341227199301091550</v>
      </c>
      <c r="P1902" s="23" t="s">
        <v>5616</v>
      </c>
      <c r="Q1902" s="23">
        <v>45084</v>
      </c>
      <c r="R1902" s="32">
        <v>45450</v>
      </c>
      <c r="V1902" s="33">
        <v>50</v>
      </c>
      <c r="W1902" s="28">
        <v>64.29</v>
      </c>
      <c r="X1902" s="34" t="s">
        <v>54</v>
      </c>
      <c r="Y1902" s="33">
        <v>32.15</v>
      </c>
      <c r="AC1902" s="28">
        <v>64.29</v>
      </c>
      <c r="AD1902" s="34" t="s">
        <v>54</v>
      </c>
      <c r="AE1902" s="33">
        <v>32.15</v>
      </c>
      <c r="AN1902" s="7" t="s">
        <v>54</v>
      </c>
      <c r="AO1902" s="7" t="s">
        <v>55</v>
      </c>
      <c r="AP1902" s="7" t="s">
        <v>56</v>
      </c>
      <c r="AT1902" s="47" t="s">
        <v>57</v>
      </c>
      <c r="AU1902" s="47" t="s">
        <v>57</v>
      </c>
    </row>
    <row r="1903" spans="1:47">
      <c r="A1903" s="4" t="s">
        <v>48</v>
      </c>
      <c r="C1903" s="21"/>
      <c r="D1903" s="22" t="s">
        <v>49</v>
      </c>
      <c r="G1903" s="23">
        <v>45083</v>
      </c>
      <c r="H1903" s="24" t="s">
        <v>5617</v>
      </c>
      <c r="J1903" s="28" t="s">
        <v>51</v>
      </c>
      <c r="L1903" s="24" t="s">
        <v>3046</v>
      </c>
      <c r="M1903" s="1" t="str">
        <f>"341226199805093318"</f>
        <v>341226199805093318</v>
      </c>
      <c r="N1903" s="24" t="s">
        <v>3046</v>
      </c>
      <c r="O1903" s="1" t="str">
        <f>"341226199805093318"</f>
        <v>341226199805093318</v>
      </c>
      <c r="P1903" s="23" t="s">
        <v>5618</v>
      </c>
      <c r="Q1903" s="23">
        <v>45084</v>
      </c>
      <c r="R1903" s="32">
        <v>45450</v>
      </c>
      <c r="V1903" s="33">
        <v>50</v>
      </c>
      <c r="W1903" s="28">
        <v>64.29</v>
      </c>
      <c r="X1903" s="34" t="s">
        <v>54</v>
      </c>
      <c r="Y1903" s="33">
        <v>32.15</v>
      </c>
      <c r="AC1903" s="28">
        <v>64.29</v>
      </c>
      <c r="AD1903" s="34" t="s">
        <v>54</v>
      </c>
      <c r="AE1903" s="33">
        <v>32.15</v>
      </c>
      <c r="AN1903" s="7" t="s">
        <v>54</v>
      </c>
      <c r="AO1903" s="7" t="s">
        <v>55</v>
      </c>
      <c r="AP1903" s="7" t="s">
        <v>56</v>
      </c>
      <c r="AT1903" s="47" t="s">
        <v>57</v>
      </c>
      <c r="AU1903" s="47" t="s">
        <v>57</v>
      </c>
    </row>
    <row r="1904" spans="1:47">
      <c r="A1904" s="4" t="s">
        <v>48</v>
      </c>
      <c r="C1904" s="21"/>
      <c r="D1904" s="22" t="s">
        <v>49</v>
      </c>
      <c r="G1904" s="23">
        <v>45096</v>
      </c>
      <c r="H1904" s="24" t="s">
        <v>5619</v>
      </c>
      <c r="J1904" s="28" t="s">
        <v>51</v>
      </c>
      <c r="L1904" s="24" t="s">
        <v>5620</v>
      </c>
      <c r="M1904" s="1" t="str">
        <f>"320321199306154840"</f>
        <v>320321199306154840</v>
      </c>
      <c r="N1904" s="24" t="s">
        <v>5620</v>
      </c>
      <c r="O1904" s="1" t="str">
        <f>"320321199306154840"</f>
        <v>320321199306154840</v>
      </c>
      <c r="P1904" s="23" t="s">
        <v>5621</v>
      </c>
      <c r="Q1904" s="23">
        <v>45158</v>
      </c>
      <c r="R1904" s="32">
        <v>45524</v>
      </c>
      <c r="V1904" s="33">
        <v>100</v>
      </c>
      <c r="W1904" s="28">
        <v>64.29</v>
      </c>
      <c r="X1904" s="34" t="s">
        <v>54</v>
      </c>
      <c r="Y1904" s="33">
        <v>64.29</v>
      </c>
      <c r="AC1904" s="28">
        <v>64.29</v>
      </c>
      <c r="AD1904" s="34" t="s">
        <v>54</v>
      </c>
      <c r="AE1904" s="33">
        <v>64.29</v>
      </c>
      <c r="AN1904" s="7" t="s">
        <v>54</v>
      </c>
      <c r="AO1904" s="7" t="s">
        <v>55</v>
      </c>
      <c r="AP1904" s="7" t="s">
        <v>56</v>
      </c>
      <c r="AT1904" s="47" t="s">
        <v>57</v>
      </c>
      <c r="AU1904" s="47" t="s">
        <v>57</v>
      </c>
    </row>
    <row r="1905" spans="1:47">
      <c r="A1905" s="4" t="s">
        <v>48</v>
      </c>
      <c r="C1905" s="21"/>
      <c r="D1905" s="22" t="s">
        <v>49</v>
      </c>
      <c r="G1905" s="23">
        <v>45097</v>
      </c>
      <c r="H1905" s="24" t="s">
        <v>5622</v>
      </c>
      <c r="J1905" s="28" t="s">
        <v>51</v>
      </c>
      <c r="L1905" s="24" t="s">
        <v>5623</v>
      </c>
      <c r="M1905" s="1" t="str">
        <f>"211421196404230242"</f>
        <v>211421196404230242</v>
      </c>
      <c r="N1905" s="24" t="s">
        <v>5623</v>
      </c>
      <c r="O1905" s="1" t="str">
        <f>"211421196404230242"</f>
        <v>211421196404230242</v>
      </c>
      <c r="P1905" s="23" t="s">
        <v>5624</v>
      </c>
      <c r="Q1905" s="23">
        <v>45098</v>
      </c>
      <c r="R1905" s="32">
        <v>45464</v>
      </c>
      <c r="V1905" s="33">
        <v>100</v>
      </c>
      <c r="W1905" s="28">
        <v>64.29</v>
      </c>
      <c r="X1905" s="34" t="s">
        <v>54</v>
      </c>
      <c r="Y1905" s="33">
        <v>64.29</v>
      </c>
      <c r="AC1905" s="28">
        <v>64.29</v>
      </c>
      <c r="AD1905" s="34" t="s">
        <v>54</v>
      </c>
      <c r="AE1905" s="33">
        <v>64.29</v>
      </c>
      <c r="AN1905" s="7" t="s">
        <v>54</v>
      </c>
      <c r="AO1905" s="7" t="s">
        <v>55</v>
      </c>
      <c r="AP1905" s="7" t="s">
        <v>56</v>
      </c>
      <c r="AT1905" s="47" t="s">
        <v>57</v>
      </c>
      <c r="AU1905" s="47" t="s">
        <v>57</v>
      </c>
    </row>
    <row r="1906" spans="1:47">
      <c r="A1906" s="4" t="s">
        <v>48</v>
      </c>
      <c r="C1906" s="21"/>
      <c r="D1906" s="22" t="s">
        <v>49</v>
      </c>
      <c r="G1906" s="23">
        <v>45097</v>
      </c>
      <c r="H1906" s="24" t="s">
        <v>5625</v>
      </c>
      <c r="J1906" s="28" t="s">
        <v>51</v>
      </c>
      <c r="L1906" s="24" t="s">
        <v>5626</v>
      </c>
      <c r="M1906" s="1" t="str">
        <f>"130102197210071843"</f>
        <v>130102197210071843</v>
      </c>
      <c r="N1906" s="24" t="s">
        <v>5626</v>
      </c>
      <c r="O1906" s="1" t="str">
        <f>"130102197210071843"</f>
        <v>130102197210071843</v>
      </c>
      <c r="P1906" s="23" t="s">
        <v>5627</v>
      </c>
      <c r="Q1906" s="23">
        <v>45098</v>
      </c>
      <c r="R1906" s="32">
        <v>45464</v>
      </c>
      <c r="V1906" s="33">
        <v>100</v>
      </c>
      <c r="W1906" s="28">
        <v>64.29</v>
      </c>
      <c r="X1906" s="34" t="s">
        <v>54</v>
      </c>
      <c r="Y1906" s="33">
        <v>64.29</v>
      </c>
      <c r="AC1906" s="28">
        <v>64.29</v>
      </c>
      <c r="AD1906" s="34" t="s">
        <v>54</v>
      </c>
      <c r="AE1906" s="33">
        <v>64.29</v>
      </c>
      <c r="AN1906" s="7" t="s">
        <v>54</v>
      </c>
      <c r="AO1906" s="7" t="s">
        <v>55</v>
      </c>
      <c r="AP1906" s="7" t="s">
        <v>56</v>
      </c>
      <c r="AT1906" s="47" t="s">
        <v>57</v>
      </c>
      <c r="AU1906" s="47" t="s">
        <v>57</v>
      </c>
    </row>
    <row r="1907" spans="1:47">
      <c r="A1907" s="4" t="s">
        <v>48</v>
      </c>
      <c r="C1907" s="21"/>
      <c r="D1907" s="22" t="s">
        <v>49</v>
      </c>
      <c r="G1907" s="23">
        <v>45096</v>
      </c>
      <c r="H1907" s="24" t="s">
        <v>5628</v>
      </c>
      <c r="J1907" s="28" t="s">
        <v>51</v>
      </c>
      <c r="L1907" s="24" t="s">
        <v>5629</v>
      </c>
      <c r="M1907" s="1" t="str">
        <f>"131022198510015419"</f>
        <v>131022198510015419</v>
      </c>
      <c r="N1907" s="24" t="s">
        <v>5629</v>
      </c>
      <c r="O1907" s="1" t="str">
        <f>"131022198510015419"</f>
        <v>131022198510015419</v>
      </c>
      <c r="P1907" s="23" t="s">
        <v>5630</v>
      </c>
      <c r="Q1907" s="23">
        <v>45250</v>
      </c>
      <c r="R1907" s="32">
        <v>45616</v>
      </c>
      <c r="V1907" s="33">
        <v>100</v>
      </c>
      <c r="W1907" s="28">
        <v>64.29</v>
      </c>
      <c r="X1907" s="34" t="s">
        <v>54</v>
      </c>
      <c r="Y1907" s="33">
        <v>64.29</v>
      </c>
      <c r="AC1907" s="28">
        <v>64.29</v>
      </c>
      <c r="AD1907" s="34" t="s">
        <v>54</v>
      </c>
      <c r="AE1907" s="33">
        <v>64.29</v>
      </c>
      <c r="AN1907" s="7" t="s">
        <v>54</v>
      </c>
      <c r="AO1907" s="7" t="s">
        <v>55</v>
      </c>
      <c r="AP1907" s="7" t="s">
        <v>56</v>
      </c>
      <c r="AT1907" s="47" t="s">
        <v>57</v>
      </c>
      <c r="AU1907" s="47" t="s">
        <v>57</v>
      </c>
    </row>
    <row r="1908" spans="1:47">
      <c r="A1908" s="4" t="s">
        <v>48</v>
      </c>
      <c r="C1908" s="21"/>
      <c r="D1908" s="22" t="s">
        <v>49</v>
      </c>
      <c r="G1908" s="23">
        <v>45096</v>
      </c>
      <c r="H1908" s="24" t="s">
        <v>5631</v>
      </c>
      <c r="J1908" s="28" t="s">
        <v>51</v>
      </c>
      <c r="L1908" s="24" t="s">
        <v>5632</v>
      </c>
      <c r="M1908" s="1" t="str">
        <f>"341202198302160229"</f>
        <v>341202198302160229</v>
      </c>
      <c r="N1908" s="24" t="s">
        <v>5632</v>
      </c>
      <c r="O1908" s="1" t="str">
        <f>"341202198302160229"</f>
        <v>341202198302160229</v>
      </c>
      <c r="P1908" s="23" t="s">
        <v>5633</v>
      </c>
      <c r="Q1908" s="23">
        <v>45233</v>
      </c>
      <c r="R1908" s="32">
        <v>45599</v>
      </c>
      <c r="V1908" s="33">
        <v>100</v>
      </c>
      <c r="W1908" s="28">
        <v>64.29</v>
      </c>
      <c r="X1908" s="34" t="s">
        <v>54</v>
      </c>
      <c r="Y1908" s="33">
        <v>64.29</v>
      </c>
      <c r="AC1908" s="28">
        <v>64.29</v>
      </c>
      <c r="AD1908" s="34" t="s">
        <v>54</v>
      </c>
      <c r="AE1908" s="33">
        <v>64.29</v>
      </c>
      <c r="AN1908" s="7" t="s">
        <v>54</v>
      </c>
      <c r="AO1908" s="7" t="s">
        <v>55</v>
      </c>
      <c r="AP1908" s="7" t="s">
        <v>56</v>
      </c>
      <c r="AT1908" s="47" t="s">
        <v>57</v>
      </c>
      <c r="AU1908" s="47" t="s">
        <v>57</v>
      </c>
    </row>
    <row r="1909" spans="1:47">
      <c r="A1909" s="4" t="s">
        <v>48</v>
      </c>
      <c r="C1909" s="21"/>
      <c r="D1909" s="22" t="s">
        <v>49</v>
      </c>
      <c r="G1909" s="23">
        <v>45086</v>
      </c>
      <c r="H1909" s="24" t="s">
        <v>5634</v>
      </c>
      <c r="J1909" s="28" t="s">
        <v>51</v>
      </c>
      <c r="L1909" s="24" t="s">
        <v>5635</v>
      </c>
      <c r="M1909" s="1" t="str">
        <f>"341221199609205464"</f>
        <v>341221199609205464</v>
      </c>
      <c r="N1909" s="24" t="s">
        <v>5635</v>
      </c>
      <c r="O1909" s="1" t="str">
        <f>"341221199609205464"</f>
        <v>341221199609205464</v>
      </c>
      <c r="P1909" s="23" t="s">
        <v>5636</v>
      </c>
      <c r="Q1909" s="23">
        <v>45270</v>
      </c>
      <c r="R1909" s="32">
        <v>45636</v>
      </c>
      <c r="V1909" s="33">
        <v>100</v>
      </c>
      <c r="W1909" s="28">
        <v>64.29</v>
      </c>
      <c r="X1909" s="34" t="s">
        <v>54</v>
      </c>
      <c r="Y1909" s="33">
        <v>64.29</v>
      </c>
      <c r="AC1909" s="28">
        <v>64.29</v>
      </c>
      <c r="AD1909" s="34" t="s">
        <v>54</v>
      </c>
      <c r="AE1909" s="33">
        <v>64.29</v>
      </c>
      <c r="AN1909" s="7" t="s">
        <v>54</v>
      </c>
      <c r="AO1909" s="7" t="s">
        <v>55</v>
      </c>
      <c r="AP1909" s="7" t="s">
        <v>56</v>
      </c>
      <c r="AT1909" s="47" t="s">
        <v>57</v>
      </c>
      <c r="AU1909" s="47" t="s">
        <v>57</v>
      </c>
    </row>
    <row r="1910" spans="1:47">
      <c r="A1910" s="4" t="s">
        <v>48</v>
      </c>
      <c r="C1910" s="21"/>
      <c r="D1910" s="22" t="s">
        <v>49</v>
      </c>
      <c r="G1910" s="23">
        <v>45086</v>
      </c>
      <c r="H1910" s="24" t="s">
        <v>5637</v>
      </c>
      <c r="J1910" s="28" t="s">
        <v>51</v>
      </c>
      <c r="L1910" s="24" t="s">
        <v>5638</v>
      </c>
      <c r="M1910" s="1" t="str">
        <f>"342130195904100052"</f>
        <v>342130195904100052</v>
      </c>
      <c r="N1910" s="24" t="s">
        <v>5638</v>
      </c>
      <c r="O1910" s="1" t="str">
        <f>"342130195904100052"</f>
        <v>342130195904100052</v>
      </c>
      <c r="P1910" s="23" t="s">
        <v>5639</v>
      </c>
      <c r="Q1910" s="23">
        <v>45170</v>
      </c>
      <c r="R1910" s="32">
        <v>45536</v>
      </c>
      <c r="V1910" s="33">
        <v>100</v>
      </c>
      <c r="W1910" s="28">
        <v>64.29</v>
      </c>
      <c r="X1910" s="34" t="s">
        <v>54</v>
      </c>
      <c r="Y1910" s="33">
        <v>64.29</v>
      </c>
      <c r="AC1910" s="28">
        <v>64.29</v>
      </c>
      <c r="AD1910" s="34" t="s">
        <v>54</v>
      </c>
      <c r="AE1910" s="33">
        <v>64.29</v>
      </c>
      <c r="AN1910" s="7" t="s">
        <v>54</v>
      </c>
      <c r="AO1910" s="7" t="s">
        <v>55</v>
      </c>
      <c r="AP1910" s="7" t="s">
        <v>56</v>
      </c>
      <c r="AT1910" s="47" t="s">
        <v>57</v>
      </c>
      <c r="AU1910" s="47" t="s">
        <v>57</v>
      </c>
    </row>
    <row r="1911" spans="1:47">
      <c r="A1911" s="4" t="s">
        <v>48</v>
      </c>
      <c r="C1911" s="21"/>
      <c r="D1911" s="22" t="s">
        <v>49</v>
      </c>
      <c r="G1911" s="23">
        <v>45088</v>
      </c>
      <c r="H1911" s="24" t="s">
        <v>5640</v>
      </c>
      <c r="J1911" s="28" t="s">
        <v>51</v>
      </c>
      <c r="L1911" s="24" t="s">
        <v>5641</v>
      </c>
      <c r="M1911" s="1" t="str">
        <f>"342101196404030046"</f>
        <v>342101196404030046</v>
      </c>
      <c r="N1911" s="24" t="s">
        <v>5641</v>
      </c>
      <c r="O1911" s="1" t="str">
        <f>"342101196404030046"</f>
        <v>342101196404030046</v>
      </c>
      <c r="P1911" s="23" t="s">
        <v>5642</v>
      </c>
      <c r="Q1911" s="23">
        <v>45089</v>
      </c>
      <c r="R1911" s="32">
        <v>45455</v>
      </c>
      <c r="V1911" s="33">
        <v>100</v>
      </c>
      <c r="W1911" s="28">
        <v>64.29</v>
      </c>
      <c r="X1911" s="34" t="s">
        <v>54</v>
      </c>
      <c r="Y1911" s="33">
        <v>64.29</v>
      </c>
      <c r="AC1911" s="28">
        <v>64.29</v>
      </c>
      <c r="AD1911" s="34" t="s">
        <v>54</v>
      </c>
      <c r="AE1911" s="33">
        <v>64.29</v>
      </c>
      <c r="AN1911" s="7" t="s">
        <v>54</v>
      </c>
      <c r="AO1911" s="7" t="s">
        <v>55</v>
      </c>
      <c r="AP1911" s="7" t="s">
        <v>56</v>
      </c>
      <c r="AT1911" s="47" t="s">
        <v>57</v>
      </c>
      <c r="AU1911" s="47" t="s">
        <v>57</v>
      </c>
    </row>
    <row r="1912" spans="1:47">
      <c r="A1912" s="4" t="s">
        <v>48</v>
      </c>
      <c r="C1912" s="21"/>
      <c r="D1912" s="22" t="s">
        <v>49</v>
      </c>
      <c r="G1912" s="23">
        <v>45086</v>
      </c>
      <c r="H1912" s="24" t="s">
        <v>5643</v>
      </c>
      <c r="J1912" s="28" t="s">
        <v>51</v>
      </c>
      <c r="L1912" s="24" t="s">
        <v>5644</v>
      </c>
      <c r="M1912" s="1" t="str">
        <f>"341225196902040023"</f>
        <v>341225196902040023</v>
      </c>
      <c r="N1912" s="24" t="s">
        <v>5644</v>
      </c>
      <c r="O1912" s="1" t="str">
        <f>"341225196902040023"</f>
        <v>341225196902040023</v>
      </c>
      <c r="P1912" s="23" t="s">
        <v>5645</v>
      </c>
      <c r="Q1912" s="23">
        <v>45087</v>
      </c>
      <c r="R1912" s="32">
        <v>45453</v>
      </c>
      <c r="V1912" s="33">
        <v>100</v>
      </c>
      <c r="W1912" s="28">
        <v>64.29</v>
      </c>
      <c r="X1912" s="34" t="s">
        <v>54</v>
      </c>
      <c r="Y1912" s="33">
        <v>64.29</v>
      </c>
      <c r="AC1912" s="28">
        <v>64.29</v>
      </c>
      <c r="AD1912" s="34" t="s">
        <v>54</v>
      </c>
      <c r="AE1912" s="33">
        <v>64.29</v>
      </c>
      <c r="AN1912" s="7" t="s">
        <v>54</v>
      </c>
      <c r="AO1912" s="7" t="s">
        <v>55</v>
      </c>
      <c r="AP1912" s="7" t="s">
        <v>56</v>
      </c>
      <c r="AT1912" s="47" t="s">
        <v>57</v>
      </c>
      <c r="AU1912" s="47" t="s">
        <v>57</v>
      </c>
    </row>
    <row r="1913" spans="1:47">
      <c r="A1913" s="4" t="s">
        <v>48</v>
      </c>
      <c r="C1913" s="21"/>
      <c r="D1913" s="22" t="s">
        <v>49</v>
      </c>
      <c r="G1913" s="23">
        <v>45102</v>
      </c>
      <c r="H1913" s="24" t="s">
        <v>5646</v>
      </c>
      <c r="J1913" s="28" t="s">
        <v>51</v>
      </c>
      <c r="L1913" s="24" t="s">
        <v>5647</v>
      </c>
      <c r="M1913" s="1" t="str">
        <f>"342222198611260422"</f>
        <v>342222198611260422</v>
      </c>
      <c r="N1913" s="24" t="s">
        <v>5647</v>
      </c>
      <c r="O1913" s="1" t="str">
        <f>"342222198611260422"</f>
        <v>342222198611260422</v>
      </c>
      <c r="P1913" s="23" t="s">
        <v>5648</v>
      </c>
      <c r="Q1913" s="23">
        <v>45282</v>
      </c>
      <c r="R1913" s="32">
        <v>45648</v>
      </c>
      <c r="V1913" s="33">
        <v>200</v>
      </c>
      <c r="W1913" s="28">
        <v>64.29</v>
      </c>
      <c r="X1913" s="34" t="s">
        <v>54</v>
      </c>
      <c r="Y1913" s="33">
        <v>128.58</v>
      </c>
      <c r="AC1913" s="28">
        <v>64.29</v>
      </c>
      <c r="AD1913" s="34" t="s">
        <v>54</v>
      </c>
      <c r="AE1913" s="33">
        <v>128.58</v>
      </c>
      <c r="AN1913" s="7" t="s">
        <v>54</v>
      </c>
      <c r="AO1913" s="7" t="s">
        <v>55</v>
      </c>
      <c r="AP1913" s="7" t="s">
        <v>56</v>
      </c>
      <c r="AT1913" s="47" t="s">
        <v>57</v>
      </c>
      <c r="AU1913" s="47" t="s">
        <v>57</v>
      </c>
    </row>
    <row r="1914" spans="1:47">
      <c r="A1914" s="4" t="s">
        <v>48</v>
      </c>
      <c r="C1914" s="21"/>
      <c r="D1914" s="22" t="s">
        <v>49</v>
      </c>
      <c r="G1914" s="23">
        <v>45101</v>
      </c>
      <c r="H1914" s="24" t="s">
        <v>5649</v>
      </c>
      <c r="J1914" s="28" t="s">
        <v>51</v>
      </c>
      <c r="L1914" s="24" t="s">
        <v>5650</v>
      </c>
      <c r="M1914" s="1" t="str">
        <f>"341282198901037320"</f>
        <v>341282198901037320</v>
      </c>
      <c r="N1914" s="24" t="s">
        <v>5650</v>
      </c>
      <c r="O1914" s="1" t="str">
        <f>"341282198901037320"</f>
        <v>341282198901037320</v>
      </c>
      <c r="P1914" s="23" t="s">
        <v>5651</v>
      </c>
      <c r="Q1914" s="23">
        <v>45102</v>
      </c>
      <c r="R1914" s="32">
        <v>45468</v>
      </c>
      <c r="V1914" s="33">
        <v>200</v>
      </c>
      <c r="W1914" s="28">
        <v>64.29</v>
      </c>
      <c r="X1914" s="34" t="s">
        <v>54</v>
      </c>
      <c r="Y1914" s="33">
        <v>128.58</v>
      </c>
      <c r="AC1914" s="28">
        <v>64.29</v>
      </c>
      <c r="AD1914" s="34" t="s">
        <v>54</v>
      </c>
      <c r="AE1914" s="33">
        <v>128.58</v>
      </c>
      <c r="AN1914" s="7" t="s">
        <v>54</v>
      </c>
      <c r="AO1914" s="7" t="s">
        <v>55</v>
      </c>
      <c r="AP1914" s="7" t="s">
        <v>56</v>
      </c>
      <c r="AT1914" s="47" t="s">
        <v>57</v>
      </c>
      <c r="AU1914" s="47" t="s">
        <v>57</v>
      </c>
    </row>
    <row r="1915" spans="1:47">
      <c r="A1915" s="4" t="s">
        <v>48</v>
      </c>
      <c r="C1915" s="21"/>
      <c r="D1915" s="22" t="s">
        <v>49</v>
      </c>
      <c r="G1915" s="23">
        <v>45098</v>
      </c>
      <c r="H1915" s="24" t="s">
        <v>5652</v>
      </c>
      <c r="J1915" s="28" t="s">
        <v>51</v>
      </c>
      <c r="L1915" s="24" t="s">
        <v>5653</v>
      </c>
      <c r="M1915" s="1" t="str">
        <f>"341221198601164114"</f>
        <v>341221198601164114</v>
      </c>
      <c r="N1915" s="24" t="s">
        <v>5653</v>
      </c>
      <c r="O1915" s="1" t="str">
        <f>"341221198601164114"</f>
        <v>341221198601164114</v>
      </c>
      <c r="P1915" s="23" t="s">
        <v>5654</v>
      </c>
      <c r="Q1915" s="23">
        <v>45099</v>
      </c>
      <c r="R1915" s="32">
        <v>45465</v>
      </c>
      <c r="V1915" s="33">
        <v>200</v>
      </c>
      <c r="W1915" s="28">
        <v>64.29</v>
      </c>
      <c r="X1915" s="34" t="s">
        <v>54</v>
      </c>
      <c r="Y1915" s="33">
        <v>128.58</v>
      </c>
      <c r="AC1915" s="28">
        <v>64.29</v>
      </c>
      <c r="AD1915" s="34" t="s">
        <v>54</v>
      </c>
      <c r="AE1915" s="33">
        <v>128.58</v>
      </c>
      <c r="AN1915" s="7" t="s">
        <v>54</v>
      </c>
      <c r="AO1915" s="7" t="s">
        <v>55</v>
      </c>
      <c r="AP1915" s="7" t="s">
        <v>56</v>
      </c>
      <c r="AT1915" s="47" t="s">
        <v>57</v>
      </c>
      <c r="AU1915" s="47" t="s">
        <v>57</v>
      </c>
    </row>
    <row r="1916" spans="1:47">
      <c r="A1916" s="4" t="s">
        <v>48</v>
      </c>
      <c r="C1916" s="21"/>
      <c r="D1916" s="22" t="s">
        <v>49</v>
      </c>
      <c r="G1916" s="23">
        <v>45083</v>
      </c>
      <c r="H1916" s="24" t="s">
        <v>5655</v>
      </c>
      <c r="J1916" s="28" t="s">
        <v>51</v>
      </c>
      <c r="L1916" s="24" t="s">
        <v>5656</v>
      </c>
      <c r="M1916" s="1" t="str">
        <f>"342101195111151018"</f>
        <v>342101195111151018</v>
      </c>
      <c r="N1916" s="24" t="s">
        <v>5656</v>
      </c>
      <c r="O1916" s="1" t="str">
        <f>"342101195111151018"</f>
        <v>342101195111151018</v>
      </c>
      <c r="P1916" s="23" t="s">
        <v>5657</v>
      </c>
      <c r="Q1916" s="23">
        <v>45084</v>
      </c>
      <c r="R1916" s="32">
        <v>45450</v>
      </c>
      <c r="V1916" s="33">
        <v>50</v>
      </c>
      <c r="W1916" s="28">
        <v>64.29</v>
      </c>
      <c r="X1916" s="34" t="s">
        <v>54</v>
      </c>
      <c r="Y1916" s="33">
        <v>32.15</v>
      </c>
      <c r="AC1916" s="28">
        <v>64.29</v>
      </c>
      <c r="AD1916" s="34" t="s">
        <v>54</v>
      </c>
      <c r="AE1916" s="33">
        <v>32.15</v>
      </c>
      <c r="AN1916" s="7" t="s">
        <v>54</v>
      </c>
      <c r="AO1916" s="7" t="s">
        <v>55</v>
      </c>
      <c r="AP1916" s="7" t="s">
        <v>56</v>
      </c>
      <c r="AT1916" s="47" t="s">
        <v>57</v>
      </c>
      <c r="AU1916" s="47" t="s">
        <v>57</v>
      </c>
    </row>
    <row r="1917" spans="1:47">
      <c r="A1917" s="4" t="s">
        <v>48</v>
      </c>
      <c r="C1917" s="21"/>
      <c r="D1917" s="22" t="s">
        <v>49</v>
      </c>
      <c r="G1917" s="23">
        <v>45084</v>
      </c>
      <c r="H1917" s="24" t="s">
        <v>5658</v>
      </c>
      <c r="J1917" s="28" t="s">
        <v>51</v>
      </c>
      <c r="L1917" s="24" t="s">
        <v>5659</v>
      </c>
      <c r="M1917" s="1" t="str">
        <f>"341221198302112808"</f>
        <v>341221198302112808</v>
      </c>
      <c r="N1917" s="24" t="s">
        <v>5659</v>
      </c>
      <c r="O1917" s="1" t="str">
        <f>"341221198302112808"</f>
        <v>341221198302112808</v>
      </c>
      <c r="P1917" s="23" t="s">
        <v>5660</v>
      </c>
      <c r="Q1917" s="23">
        <v>45085</v>
      </c>
      <c r="R1917" s="32">
        <v>45451</v>
      </c>
      <c r="V1917" s="33">
        <v>50</v>
      </c>
      <c r="W1917" s="28">
        <v>64.29</v>
      </c>
      <c r="X1917" s="34" t="s">
        <v>54</v>
      </c>
      <c r="Y1917" s="33">
        <v>32.15</v>
      </c>
      <c r="AC1917" s="28">
        <v>64.29</v>
      </c>
      <c r="AD1917" s="34" t="s">
        <v>54</v>
      </c>
      <c r="AE1917" s="33">
        <v>32.15</v>
      </c>
      <c r="AN1917" s="7" t="s">
        <v>54</v>
      </c>
      <c r="AO1917" s="7" t="s">
        <v>55</v>
      </c>
      <c r="AP1917" s="7" t="s">
        <v>56</v>
      </c>
      <c r="AT1917" s="47" t="s">
        <v>57</v>
      </c>
      <c r="AU1917" s="47" t="s">
        <v>57</v>
      </c>
    </row>
    <row r="1918" spans="1:47">
      <c r="A1918" s="4" t="s">
        <v>48</v>
      </c>
      <c r="C1918" s="21"/>
      <c r="D1918" s="22" t="s">
        <v>49</v>
      </c>
      <c r="G1918" s="23">
        <v>45083</v>
      </c>
      <c r="H1918" s="24" t="s">
        <v>5661</v>
      </c>
      <c r="J1918" s="28" t="s">
        <v>51</v>
      </c>
      <c r="L1918" s="24" t="s">
        <v>5662</v>
      </c>
      <c r="M1918" s="1" t="str">
        <f>"120222200107018124"</f>
        <v>120222200107018124</v>
      </c>
      <c r="N1918" s="24" t="s">
        <v>5662</v>
      </c>
      <c r="O1918" s="1" t="str">
        <f>"120222200107018124"</f>
        <v>120222200107018124</v>
      </c>
      <c r="P1918" s="23" t="s">
        <v>5663</v>
      </c>
      <c r="Q1918" s="23">
        <v>45084</v>
      </c>
      <c r="R1918" s="32">
        <v>45450</v>
      </c>
      <c r="V1918" s="33">
        <v>50</v>
      </c>
      <c r="W1918" s="28">
        <v>64.29</v>
      </c>
      <c r="X1918" s="34" t="s">
        <v>54</v>
      </c>
      <c r="Y1918" s="33">
        <v>32.15</v>
      </c>
      <c r="AC1918" s="28">
        <v>64.29</v>
      </c>
      <c r="AD1918" s="34" t="s">
        <v>54</v>
      </c>
      <c r="AE1918" s="33">
        <v>32.15</v>
      </c>
      <c r="AN1918" s="7" t="s">
        <v>54</v>
      </c>
      <c r="AO1918" s="7" t="s">
        <v>55</v>
      </c>
      <c r="AP1918" s="7" t="s">
        <v>56</v>
      </c>
      <c r="AT1918" s="47" t="s">
        <v>57</v>
      </c>
      <c r="AU1918" s="47" t="s">
        <v>57</v>
      </c>
    </row>
    <row r="1919" spans="1:47">
      <c r="A1919" s="4" t="s">
        <v>48</v>
      </c>
      <c r="C1919" s="21"/>
      <c r="D1919" s="22" t="s">
        <v>49</v>
      </c>
      <c r="G1919" s="23">
        <v>45097</v>
      </c>
      <c r="H1919" s="24" t="s">
        <v>5664</v>
      </c>
      <c r="J1919" s="28" t="s">
        <v>51</v>
      </c>
      <c r="L1919" s="24" t="s">
        <v>5665</v>
      </c>
      <c r="M1919" s="1" t="str">
        <f>"341225199607280220"</f>
        <v>341225199607280220</v>
      </c>
      <c r="N1919" s="24" t="s">
        <v>5665</v>
      </c>
      <c r="O1919" s="1" t="str">
        <f>"341225199607280220"</f>
        <v>341225199607280220</v>
      </c>
      <c r="P1919" s="23" t="s">
        <v>5666</v>
      </c>
      <c r="Q1919" s="23">
        <v>45291</v>
      </c>
      <c r="R1919" s="32">
        <v>45657</v>
      </c>
      <c r="V1919" s="33">
        <v>100</v>
      </c>
      <c r="W1919" s="28">
        <v>64.29</v>
      </c>
      <c r="X1919" s="34" t="s">
        <v>54</v>
      </c>
      <c r="Y1919" s="33">
        <v>64.29</v>
      </c>
      <c r="AC1919" s="28">
        <v>64.29</v>
      </c>
      <c r="AD1919" s="34" t="s">
        <v>54</v>
      </c>
      <c r="AE1919" s="33">
        <v>64.29</v>
      </c>
      <c r="AN1919" s="7" t="s">
        <v>54</v>
      </c>
      <c r="AO1919" s="7" t="s">
        <v>55</v>
      </c>
      <c r="AP1919" s="7" t="s">
        <v>56</v>
      </c>
      <c r="AT1919" s="47" t="s">
        <v>57</v>
      </c>
      <c r="AU1919" s="47" t="s">
        <v>57</v>
      </c>
    </row>
    <row r="1920" spans="1:47">
      <c r="A1920" s="4" t="s">
        <v>48</v>
      </c>
      <c r="C1920" s="21"/>
      <c r="D1920" s="22" t="s">
        <v>49</v>
      </c>
      <c r="G1920" s="23">
        <v>45096</v>
      </c>
      <c r="H1920" s="24" t="s">
        <v>5667</v>
      </c>
      <c r="J1920" s="28" t="s">
        <v>51</v>
      </c>
      <c r="L1920" s="24" t="s">
        <v>5668</v>
      </c>
      <c r="M1920" s="1" t="str">
        <f>"342121195312266116"</f>
        <v>342121195312266116</v>
      </c>
      <c r="N1920" s="24" t="s">
        <v>5668</v>
      </c>
      <c r="O1920" s="1" t="str">
        <f>"342121195312266116"</f>
        <v>342121195312266116</v>
      </c>
      <c r="P1920" s="23" t="s">
        <v>5669</v>
      </c>
      <c r="Q1920" s="23">
        <v>45097</v>
      </c>
      <c r="R1920" s="32">
        <v>45463</v>
      </c>
      <c r="V1920" s="33">
        <v>100</v>
      </c>
      <c r="W1920" s="28">
        <v>64.29</v>
      </c>
      <c r="X1920" s="34" t="s">
        <v>54</v>
      </c>
      <c r="Y1920" s="33">
        <v>64.29</v>
      </c>
      <c r="AC1920" s="28">
        <v>64.29</v>
      </c>
      <c r="AD1920" s="34" t="s">
        <v>54</v>
      </c>
      <c r="AE1920" s="33">
        <v>64.29</v>
      </c>
      <c r="AN1920" s="7" t="s">
        <v>54</v>
      </c>
      <c r="AO1920" s="7" t="s">
        <v>55</v>
      </c>
      <c r="AP1920" s="7" t="s">
        <v>56</v>
      </c>
      <c r="AT1920" s="47" t="s">
        <v>57</v>
      </c>
      <c r="AU1920" s="47" t="s">
        <v>57</v>
      </c>
    </row>
    <row r="1921" spans="1:47">
      <c r="A1921" s="4" t="s">
        <v>48</v>
      </c>
      <c r="C1921" s="21"/>
      <c r="D1921" s="22" t="s">
        <v>49</v>
      </c>
      <c r="G1921" s="23">
        <v>45083</v>
      </c>
      <c r="H1921" s="24" t="s">
        <v>5670</v>
      </c>
      <c r="J1921" s="28" t="s">
        <v>51</v>
      </c>
      <c r="L1921" s="24" t="s">
        <v>5671</v>
      </c>
      <c r="M1921" s="1" t="str">
        <f>"342101194911072217"</f>
        <v>342101194911072217</v>
      </c>
      <c r="N1921" s="24" t="s">
        <v>5671</v>
      </c>
      <c r="O1921" s="1" t="str">
        <f>"342101194911072217"</f>
        <v>342101194911072217</v>
      </c>
      <c r="P1921" s="23" t="s">
        <v>5672</v>
      </c>
      <c r="Q1921" s="23">
        <v>45206</v>
      </c>
      <c r="R1921" s="32">
        <v>45572</v>
      </c>
      <c r="V1921" s="33">
        <v>100</v>
      </c>
      <c r="W1921" s="28">
        <v>64.29</v>
      </c>
      <c r="X1921" s="34" t="s">
        <v>54</v>
      </c>
      <c r="Y1921" s="33">
        <v>64.29</v>
      </c>
      <c r="AC1921" s="28">
        <v>64.29</v>
      </c>
      <c r="AD1921" s="34" t="s">
        <v>54</v>
      </c>
      <c r="AE1921" s="33">
        <v>64.29</v>
      </c>
      <c r="AN1921" s="7" t="s">
        <v>54</v>
      </c>
      <c r="AO1921" s="7" t="s">
        <v>55</v>
      </c>
      <c r="AP1921" s="7" t="s">
        <v>56</v>
      </c>
      <c r="AT1921" s="47" t="s">
        <v>57</v>
      </c>
      <c r="AU1921" s="47" t="s">
        <v>57</v>
      </c>
    </row>
    <row r="1922" spans="1:47">
      <c r="A1922" s="4" t="s">
        <v>48</v>
      </c>
      <c r="C1922" s="21"/>
      <c r="D1922" s="22" t="s">
        <v>49</v>
      </c>
      <c r="G1922" s="23">
        <v>45096</v>
      </c>
      <c r="H1922" s="24" t="s">
        <v>5673</v>
      </c>
      <c r="J1922" s="28" t="s">
        <v>51</v>
      </c>
      <c r="L1922" s="24" t="s">
        <v>5674</v>
      </c>
      <c r="M1922" s="1" t="str">
        <f>"370123198907121725"</f>
        <v>370123198907121725</v>
      </c>
      <c r="N1922" s="24" t="s">
        <v>5674</v>
      </c>
      <c r="O1922" s="1" t="str">
        <f>"370123198907121725"</f>
        <v>370123198907121725</v>
      </c>
      <c r="P1922" s="23" t="s">
        <v>5675</v>
      </c>
      <c r="Q1922" s="23">
        <v>45097</v>
      </c>
      <c r="R1922" s="32">
        <v>45463</v>
      </c>
      <c r="V1922" s="33">
        <v>200</v>
      </c>
      <c r="W1922" s="28">
        <v>64.29</v>
      </c>
      <c r="X1922" s="34" t="s">
        <v>54</v>
      </c>
      <c r="Y1922" s="33">
        <v>128.58</v>
      </c>
      <c r="AC1922" s="28">
        <v>64.29</v>
      </c>
      <c r="AD1922" s="34" t="s">
        <v>54</v>
      </c>
      <c r="AE1922" s="33">
        <v>128.58</v>
      </c>
      <c r="AN1922" s="7" t="s">
        <v>54</v>
      </c>
      <c r="AO1922" s="7" t="s">
        <v>55</v>
      </c>
      <c r="AP1922" s="7" t="s">
        <v>56</v>
      </c>
      <c r="AT1922" s="47" t="s">
        <v>57</v>
      </c>
      <c r="AU1922" s="47" t="s">
        <v>57</v>
      </c>
    </row>
    <row r="1923" spans="1:47">
      <c r="A1923" s="4" t="s">
        <v>48</v>
      </c>
      <c r="C1923" s="21"/>
      <c r="D1923" s="22" t="s">
        <v>49</v>
      </c>
      <c r="G1923" s="23">
        <v>45096</v>
      </c>
      <c r="H1923" s="24" t="s">
        <v>5676</v>
      </c>
      <c r="J1923" s="28" t="s">
        <v>51</v>
      </c>
      <c r="L1923" s="24" t="s">
        <v>5677</v>
      </c>
      <c r="M1923" s="1" t="str">
        <f>"342101195408270616"</f>
        <v>342101195408270616</v>
      </c>
      <c r="N1923" s="24" t="s">
        <v>5677</v>
      </c>
      <c r="O1923" s="1" t="str">
        <f>"342101195408270616"</f>
        <v>342101195408270616</v>
      </c>
      <c r="P1923" s="23" t="s">
        <v>5678</v>
      </c>
      <c r="Q1923" s="23">
        <v>45097</v>
      </c>
      <c r="R1923" s="32">
        <v>45463</v>
      </c>
      <c r="V1923" s="33">
        <v>200</v>
      </c>
      <c r="W1923" s="28">
        <v>64.29</v>
      </c>
      <c r="X1923" s="34" t="s">
        <v>54</v>
      </c>
      <c r="Y1923" s="33">
        <v>128.58</v>
      </c>
      <c r="AC1923" s="28">
        <v>64.29</v>
      </c>
      <c r="AD1923" s="34" t="s">
        <v>54</v>
      </c>
      <c r="AE1923" s="33">
        <v>128.58</v>
      </c>
      <c r="AN1923" s="7" t="s">
        <v>54</v>
      </c>
      <c r="AO1923" s="7" t="s">
        <v>55</v>
      </c>
      <c r="AP1923" s="7" t="s">
        <v>56</v>
      </c>
      <c r="AT1923" s="47" t="s">
        <v>57</v>
      </c>
      <c r="AU1923" s="47" t="s">
        <v>57</v>
      </c>
    </row>
    <row r="1924" spans="1:47">
      <c r="A1924" s="4" t="s">
        <v>48</v>
      </c>
      <c r="C1924" s="21"/>
      <c r="D1924" s="22" t="s">
        <v>49</v>
      </c>
      <c r="G1924" s="23">
        <v>45098</v>
      </c>
      <c r="H1924" s="24" t="s">
        <v>5679</v>
      </c>
      <c r="J1924" s="28" t="s">
        <v>51</v>
      </c>
      <c r="L1924" s="24" t="s">
        <v>5680</v>
      </c>
      <c r="M1924" s="1" t="str">
        <f>"130103198003210039"</f>
        <v>130103198003210039</v>
      </c>
      <c r="N1924" s="24" t="s">
        <v>5680</v>
      </c>
      <c r="O1924" s="1" t="str">
        <f>"130103198003210039"</f>
        <v>130103198003210039</v>
      </c>
      <c r="P1924" s="23" t="s">
        <v>5681</v>
      </c>
      <c r="Q1924" s="23">
        <v>45291</v>
      </c>
      <c r="R1924" s="32">
        <v>45657</v>
      </c>
      <c r="V1924" s="33">
        <v>200</v>
      </c>
      <c r="W1924" s="28">
        <v>64.29</v>
      </c>
      <c r="X1924" s="34" t="s">
        <v>54</v>
      </c>
      <c r="Y1924" s="33">
        <v>128.58</v>
      </c>
      <c r="AC1924" s="28">
        <v>64.29</v>
      </c>
      <c r="AD1924" s="34" t="s">
        <v>54</v>
      </c>
      <c r="AE1924" s="33">
        <v>128.58</v>
      </c>
      <c r="AN1924" s="7" t="s">
        <v>54</v>
      </c>
      <c r="AO1924" s="7" t="s">
        <v>55</v>
      </c>
      <c r="AP1924" s="7" t="s">
        <v>56</v>
      </c>
      <c r="AT1924" s="47" t="s">
        <v>57</v>
      </c>
      <c r="AU1924" s="47" t="s">
        <v>57</v>
      </c>
    </row>
    <row r="1925" spans="1:47">
      <c r="A1925" s="4" t="s">
        <v>48</v>
      </c>
      <c r="C1925" s="21"/>
      <c r="D1925" s="22" t="s">
        <v>49</v>
      </c>
      <c r="G1925" s="23">
        <v>45096</v>
      </c>
      <c r="H1925" s="24" t="s">
        <v>5682</v>
      </c>
      <c r="J1925" s="28" t="s">
        <v>51</v>
      </c>
      <c r="L1925" s="24" t="s">
        <v>2695</v>
      </c>
      <c r="M1925" s="1" t="str">
        <f>"341221198304056344"</f>
        <v>341221198304056344</v>
      </c>
      <c r="N1925" s="24" t="s">
        <v>2695</v>
      </c>
      <c r="O1925" s="1" t="str">
        <f>"341221198304056344"</f>
        <v>341221198304056344</v>
      </c>
      <c r="P1925" s="23" t="s">
        <v>5683</v>
      </c>
      <c r="Q1925" s="23">
        <v>45097</v>
      </c>
      <c r="R1925" s="32">
        <v>45463</v>
      </c>
      <c r="V1925" s="33">
        <v>200</v>
      </c>
      <c r="W1925" s="28">
        <v>64.29</v>
      </c>
      <c r="X1925" s="34" t="s">
        <v>54</v>
      </c>
      <c r="Y1925" s="33">
        <v>128.58</v>
      </c>
      <c r="AC1925" s="28">
        <v>64.29</v>
      </c>
      <c r="AD1925" s="34" t="s">
        <v>54</v>
      </c>
      <c r="AE1925" s="33">
        <v>128.58</v>
      </c>
      <c r="AN1925" s="7" t="s">
        <v>54</v>
      </c>
      <c r="AO1925" s="7" t="s">
        <v>55</v>
      </c>
      <c r="AP1925" s="7" t="s">
        <v>56</v>
      </c>
      <c r="AT1925" s="47" t="s">
        <v>57</v>
      </c>
      <c r="AU1925" s="47" t="s">
        <v>57</v>
      </c>
    </row>
    <row r="1926" spans="1:47">
      <c r="A1926" s="4" t="s">
        <v>48</v>
      </c>
      <c r="C1926" s="21"/>
      <c r="D1926" s="22" t="s">
        <v>49</v>
      </c>
      <c r="G1926" s="23">
        <v>45098</v>
      </c>
      <c r="H1926" s="24" t="s">
        <v>5684</v>
      </c>
      <c r="J1926" s="28" t="s">
        <v>51</v>
      </c>
      <c r="L1926" s="24" t="s">
        <v>5685</v>
      </c>
      <c r="M1926" s="1" t="str">
        <f>"131082199609200279"</f>
        <v>131082199609200279</v>
      </c>
      <c r="N1926" s="24" t="s">
        <v>5685</v>
      </c>
      <c r="O1926" s="1" t="str">
        <f>"131082199609200279"</f>
        <v>131082199609200279</v>
      </c>
      <c r="P1926" s="23" t="s">
        <v>5686</v>
      </c>
      <c r="Q1926" s="23">
        <v>45099</v>
      </c>
      <c r="R1926" s="32">
        <v>45465</v>
      </c>
      <c r="V1926" s="33">
        <v>200</v>
      </c>
      <c r="W1926" s="28">
        <v>64.29</v>
      </c>
      <c r="X1926" s="34" t="s">
        <v>54</v>
      </c>
      <c r="Y1926" s="33">
        <v>128.58</v>
      </c>
      <c r="AC1926" s="28">
        <v>64.29</v>
      </c>
      <c r="AD1926" s="34" t="s">
        <v>54</v>
      </c>
      <c r="AE1926" s="33">
        <v>128.58</v>
      </c>
      <c r="AN1926" s="7" t="s">
        <v>54</v>
      </c>
      <c r="AO1926" s="7" t="s">
        <v>55</v>
      </c>
      <c r="AP1926" s="7" t="s">
        <v>56</v>
      </c>
      <c r="AT1926" s="47" t="s">
        <v>57</v>
      </c>
      <c r="AU1926" s="47" t="s">
        <v>57</v>
      </c>
    </row>
    <row r="1927" spans="1:47">
      <c r="A1927" s="4" t="s">
        <v>48</v>
      </c>
      <c r="C1927" s="21"/>
      <c r="D1927" s="22" t="s">
        <v>49</v>
      </c>
      <c r="G1927" s="23">
        <v>45085</v>
      </c>
      <c r="H1927" s="24" t="s">
        <v>5687</v>
      </c>
      <c r="J1927" s="28" t="s">
        <v>51</v>
      </c>
      <c r="L1927" s="24" t="s">
        <v>5688</v>
      </c>
      <c r="M1927" s="1" t="str">
        <f>"342122196110026190"</f>
        <v>342122196110026190</v>
      </c>
      <c r="N1927" s="24" t="s">
        <v>5688</v>
      </c>
      <c r="O1927" s="1" t="str">
        <f>"342122196110026190"</f>
        <v>342122196110026190</v>
      </c>
      <c r="P1927" s="23" t="s">
        <v>5689</v>
      </c>
      <c r="Q1927" s="23">
        <v>45269</v>
      </c>
      <c r="R1927" s="32">
        <v>45635</v>
      </c>
      <c r="V1927" s="33">
        <v>50</v>
      </c>
      <c r="W1927" s="28">
        <v>64.29</v>
      </c>
      <c r="X1927" s="34" t="s">
        <v>54</v>
      </c>
      <c r="Y1927" s="33">
        <v>32.15</v>
      </c>
      <c r="AC1927" s="28">
        <v>64.29</v>
      </c>
      <c r="AD1927" s="34" t="s">
        <v>54</v>
      </c>
      <c r="AE1927" s="33">
        <v>32.15</v>
      </c>
      <c r="AN1927" s="7" t="s">
        <v>54</v>
      </c>
      <c r="AO1927" s="7" t="s">
        <v>55</v>
      </c>
      <c r="AP1927" s="7" t="s">
        <v>56</v>
      </c>
      <c r="AT1927" s="47" t="s">
        <v>57</v>
      </c>
      <c r="AU1927" s="47" t="s">
        <v>57</v>
      </c>
    </row>
    <row r="1928" spans="1:47">
      <c r="A1928" s="4" t="s">
        <v>48</v>
      </c>
      <c r="C1928" s="21"/>
      <c r="D1928" s="22" t="s">
        <v>49</v>
      </c>
      <c r="G1928" s="23">
        <v>45083</v>
      </c>
      <c r="H1928" s="24" t="s">
        <v>5690</v>
      </c>
      <c r="J1928" s="28" t="s">
        <v>51</v>
      </c>
      <c r="L1928" s="24" t="s">
        <v>5691</v>
      </c>
      <c r="M1928" s="1" t="str">
        <f>"342101196309161611"</f>
        <v>342101196309161611</v>
      </c>
      <c r="N1928" s="24" t="s">
        <v>5691</v>
      </c>
      <c r="O1928" s="1" t="str">
        <f>"342101196309161611"</f>
        <v>342101196309161611</v>
      </c>
      <c r="P1928" s="23" t="s">
        <v>5692</v>
      </c>
      <c r="Q1928" s="23">
        <v>45084</v>
      </c>
      <c r="R1928" s="32">
        <v>45450</v>
      </c>
      <c r="V1928" s="33">
        <v>50</v>
      </c>
      <c r="W1928" s="28">
        <v>64.29</v>
      </c>
      <c r="X1928" s="34" t="s">
        <v>54</v>
      </c>
      <c r="Y1928" s="33">
        <v>32.15</v>
      </c>
      <c r="AC1928" s="28">
        <v>64.29</v>
      </c>
      <c r="AD1928" s="34" t="s">
        <v>54</v>
      </c>
      <c r="AE1928" s="33">
        <v>32.15</v>
      </c>
      <c r="AN1928" s="7" t="s">
        <v>54</v>
      </c>
      <c r="AO1928" s="7" t="s">
        <v>55</v>
      </c>
      <c r="AP1928" s="7" t="s">
        <v>56</v>
      </c>
      <c r="AT1928" s="47" t="s">
        <v>57</v>
      </c>
      <c r="AU1928" s="47" t="s">
        <v>57</v>
      </c>
    </row>
    <row r="1929" spans="1:47">
      <c r="A1929" s="4" t="s">
        <v>48</v>
      </c>
      <c r="C1929" s="21"/>
      <c r="D1929" s="22" t="s">
        <v>49</v>
      </c>
      <c r="G1929" s="23">
        <v>45083</v>
      </c>
      <c r="H1929" s="24" t="s">
        <v>5693</v>
      </c>
      <c r="J1929" s="28" t="s">
        <v>51</v>
      </c>
      <c r="L1929" s="24" t="s">
        <v>5694</v>
      </c>
      <c r="M1929" s="1" t="str">
        <f>"110103195810220658"</f>
        <v>110103195810220658</v>
      </c>
      <c r="N1929" s="24" t="s">
        <v>5694</v>
      </c>
      <c r="O1929" s="1" t="str">
        <f>"110103195810220658"</f>
        <v>110103195810220658</v>
      </c>
      <c r="P1929" s="23" t="s">
        <v>5695</v>
      </c>
      <c r="Q1929" s="23">
        <v>45084</v>
      </c>
      <c r="R1929" s="32">
        <v>45450</v>
      </c>
      <c r="V1929" s="33">
        <v>50</v>
      </c>
      <c r="W1929" s="28">
        <v>64.29</v>
      </c>
      <c r="X1929" s="34" t="s">
        <v>54</v>
      </c>
      <c r="Y1929" s="33">
        <v>32.15</v>
      </c>
      <c r="AC1929" s="28">
        <v>64.29</v>
      </c>
      <c r="AD1929" s="34" t="s">
        <v>54</v>
      </c>
      <c r="AE1929" s="33">
        <v>32.15</v>
      </c>
      <c r="AN1929" s="7" t="s">
        <v>54</v>
      </c>
      <c r="AO1929" s="7" t="s">
        <v>55</v>
      </c>
      <c r="AP1929" s="7" t="s">
        <v>56</v>
      </c>
      <c r="AT1929" s="47" t="s">
        <v>57</v>
      </c>
      <c r="AU1929" s="47" t="s">
        <v>57</v>
      </c>
    </row>
    <row r="1930" spans="1:47">
      <c r="A1930" s="4" t="s">
        <v>48</v>
      </c>
      <c r="C1930" s="21"/>
      <c r="D1930" s="22" t="s">
        <v>49</v>
      </c>
      <c r="G1930" s="23">
        <v>45093</v>
      </c>
      <c r="H1930" s="24" t="s">
        <v>5696</v>
      </c>
      <c r="J1930" s="28" t="s">
        <v>51</v>
      </c>
      <c r="L1930" s="24" t="s">
        <v>5697</v>
      </c>
      <c r="M1930" s="1" t="str">
        <f>"61273119890315281X"</f>
        <v>61273119890315281X</v>
      </c>
      <c r="N1930" s="24" t="s">
        <v>5697</v>
      </c>
      <c r="O1930" s="1" t="str">
        <f>"61273119890315281X"</f>
        <v>61273119890315281X</v>
      </c>
      <c r="P1930" s="23" t="s">
        <v>5698</v>
      </c>
      <c r="Q1930" s="23">
        <v>45094</v>
      </c>
      <c r="R1930" s="32">
        <v>45460</v>
      </c>
      <c r="V1930" s="33">
        <v>100</v>
      </c>
      <c r="W1930" s="28">
        <v>64.29</v>
      </c>
      <c r="X1930" s="34" t="s">
        <v>54</v>
      </c>
      <c r="Y1930" s="33">
        <v>64.29</v>
      </c>
      <c r="AC1930" s="28">
        <v>64.29</v>
      </c>
      <c r="AD1930" s="34" t="s">
        <v>54</v>
      </c>
      <c r="AE1930" s="33">
        <v>64.29</v>
      </c>
      <c r="AN1930" s="7" t="s">
        <v>54</v>
      </c>
      <c r="AO1930" s="7" t="s">
        <v>55</v>
      </c>
      <c r="AP1930" s="7" t="s">
        <v>56</v>
      </c>
      <c r="AT1930" s="47" t="s">
        <v>57</v>
      </c>
      <c r="AU1930" s="47" t="s">
        <v>57</v>
      </c>
    </row>
    <row r="1931" spans="1:47">
      <c r="A1931" s="4" t="s">
        <v>48</v>
      </c>
      <c r="C1931" s="21"/>
      <c r="D1931" s="22" t="s">
        <v>49</v>
      </c>
      <c r="G1931" s="23">
        <v>45093</v>
      </c>
      <c r="H1931" s="24" t="s">
        <v>5699</v>
      </c>
      <c r="J1931" s="28" t="s">
        <v>51</v>
      </c>
      <c r="L1931" s="24" t="s">
        <v>5700</v>
      </c>
      <c r="M1931" s="1" t="str">
        <f>"130929198708030019"</f>
        <v>130929198708030019</v>
      </c>
      <c r="N1931" s="24" t="s">
        <v>5700</v>
      </c>
      <c r="O1931" s="1" t="str">
        <f>"130929198708030019"</f>
        <v>130929198708030019</v>
      </c>
      <c r="P1931" s="23" t="s">
        <v>5701</v>
      </c>
      <c r="Q1931" s="23">
        <v>45094</v>
      </c>
      <c r="R1931" s="32">
        <v>45460</v>
      </c>
      <c r="V1931" s="33">
        <v>100</v>
      </c>
      <c r="W1931" s="28">
        <v>64.29</v>
      </c>
      <c r="X1931" s="34" t="s">
        <v>54</v>
      </c>
      <c r="Y1931" s="33">
        <v>64.29</v>
      </c>
      <c r="AC1931" s="28">
        <v>64.29</v>
      </c>
      <c r="AD1931" s="34" t="s">
        <v>54</v>
      </c>
      <c r="AE1931" s="33">
        <v>64.29</v>
      </c>
      <c r="AN1931" s="7" t="s">
        <v>54</v>
      </c>
      <c r="AO1931" s="7" t="s">
        <v>55</v>
      </c>
      <c r="AP1931" s="7" t="s">
        <v>56</v>
      </c>
      <c r="AT1931" s="47" t="s">
        <v>57</v>
      </c>
      <c r="AU1931" s="47" t="s">
        <v>57</v>
      </c>
    </row>
    <row r="1932" spans="1:47">
      <c r="A1932" s="4" t="s">
        <v>48</v>
      </c>
      <c r="C1932" s="21"/>
      <c r="D1932" s="22" t="s">
        <v>49</v>
      </c>
      <c r="G1932" s="23">
        <v>45096</v>
      </c>
      <c r="H1932" s="24" t="s">
        <v>5702</v>
      </c>
      <c r="J1932" s="28" t="s">
        <v>51</v>
      </c>
      <c r="L1932" s="24" t="s">
        <v>5703</v>
      </c>
      <c r="M1932" s="1" t="str">
        <f>"132821195010190274"</f>
        <v>132821195010190274</v>
      </c>
      <c r="N1932" s="24" t="s">
        <v>5703</v>
      </c>
      <c r="O1932" s="1" t="str">
        <f>"132821195010190274"</f>
        <v>132821195010190274</v>
      </c>
      <c r="P1932" s="23" t="s">
        <v>5704</v>
      </c>
      <c r="Q1932" s="23">
        <v>45307</v>
      </c>
      <c r="R1932" s="32">
        <v>45673</v>
      </c>
      <c r="V1932" s="33">
        <v>100</v>
      </c>
      <c r="W1932" s="28">
        <v>64.29</v>
      </c>
      <c r="X1932" s="34" t="s">
        <v>54</v>
      </c>
      <c r="Y1932" s="33">
        <v>64.29</v>
      </c>
      <c r="AC1932" s="28">
        <v>64.29</v>
      </c>
      <c r="AD1932" s="34" t="s">
        <v>54</v>
      </c>
      <c r="AE1932" s="33">
        <v>64.29</v>
      </c>
      <c r="AN1932" s="7" t="s">
        <v>54</v>
      </c>
      <c r="AO1932" s="7" t="s">
        <v>55</v>
      </c>
      <c r="AP1932" s="7" t="s">
        <v>56</v>
      </c>
      <c r="AT1932" s="47" t="s">
        <v>57</v>
      </c>
      <c r="AU1932" s="47" t="s">
        <v>57</v>
      </c>
    </row>
    <row r="1933" spans="1:47">
      <c r="A1933" s="4" t="s">
        <v>48</v>
      </c>
      <c r="C1933" s="21"/>
      <c r="D1933" s="22" t="s">
        <v>49</v>
      </c>
      <c r="G1933" s="23">
        <v>45093</v>
      </c>
      <c r="H1933" s="24" t="s">
        <v>5705</v>
      </c>
      <c r="J1933" s="28" t="s">
        <v>51</v>
      </c>
      <c r="L1933" s="24" t="s">
        <v>5706</v>
      </c>
      <c r="M1933" s="1" t="str">
        <f>"140602197110120539"</f>
        <v>140602197110120539</v>
      </c>
      <c r="N1933" s="24" t="s">
        <v>5706</v>
      </c>
      <c r="O1933" s="1" t="str">
        <f>"140602197110120539"</f>
        <v>140602197110120539</v>
      </c>
      <c r="P1933" s="23" t="s">
        <v>5707</v>
      </c>
      <c r="Q1933" s="23">
        <v>45094</v>
      </c>
      <c r="R1933" s="32">
        <v>45460</v>
      </c>
      <c r="V1933" s="33">
        <v>100</v>
      </c>
      <c r="W1933" s="28">
        <v>64.29</v>
      </c>
      <c r="X1933" s="34" t="s">
        <v>54</v>
      </c>
      <c r="Y1933" s="33">
        <v>64.29</v>
      </c>
      <c r="AC1933" s="28">
        <v>64.29</v>
      </c>
      <c r="AD1933" s="34" t="s">
        <v>54</v>
      </c>
      <c r="AE1933" s="33">
        <v>64.29</v>
      </c>
      <c r="AN1933" s="7" t="s">
        <v>54</v>
      </c>
      <c r="AO1933" s="7" t="s">
        <v>55</v>
      </c>
      <c r="AP1933" s="7" t="s">
        <v>56</v>
      </c>
      <c r="AT1933" s="47" t="s">
        <v>57</v>
      </c>
      <c r="AU1933" s="47" t="s">
        <v>57</v>
      </c>
    </row>
    <row r="1934" spans="1:47">
      <c r="A1934" s="4" t="s">
        <v>48</v>
      </c>
      <c r="C1934" s="21"/>
      <c r="D1934" s="22" t="s">
        <v>49</v>
      </c>
      <c r="G1934" s="23">
        <v>45085</v>
      </c>
      <c r="H1934" s="24" t="s">
        <v>5708</v>
      </c>
      <c r="J1934" s="28" t="s">
        <v>51</v>
      </c>
      <c r="L1934" s="24" t="s">
        <v>5709</v>
      </c>
      <c r="M1934" s="1" t="str">
        <f>"132821197703261038"</f>
        <v>132821197703261038</v>
      </c>
      <c r="N1934" s="24" t="s">
        <v>5709</v>
      </c>
      <c r="O1934" s="1" t="str">
        <f>"132821197703261038"</f>
        <v>132821197703261038</v>
      </c>
      <c r="P1934" s="23" t="s">
        <v>5710</v>
      </c>
      <c r="Q1934" s="23">
        <v>45269</v>
      </c>
      <c r="R1934" s="32">
        <v>45635</v>
      </c>
      <c r="V1934" s="33">
        <v>100</v>
      </c>
      <c r="W1934" s="28">
        <v>64.29</v>
      </c>
      <c r="X1934" s="34" t="s">
        <v>54</v>
      </c>
      <c r="Y1934" s="33">
        <v>64.29</v>
      </c>
      <c r="AC1934" s="28">
        <v>64.29</v>
      </c>
      <c r="AD1934" s="34" t="s">
        <v>54</v>
      </c>
      <c r="AE1934" s="33">
        <v>64.29</v>
      </c>
      <c r="AN1934" s="7" t="s">
        <v>54</v>
      </c>
      <c r="AO1934" s="7" t="s">
        <v>55</v>
      </c>
      <c r="AP1934" s="7" t="s">
        <v>56</v>
      </c>
      <c r="AT1934" s="47" t="s">
        <v>57</v>
      </c>
      <c r="AU1934" s="47" t="s">
        <v>57</v>
      </c>
    </row>
    <row r="1935" spans="1:47">
      <c r="A1935" s="4" t="s">
        <v>48</v>
      </c>
      <c r="C1935" s="21"/>
      <c r="D1935" s="22" t="s">
        <v>49</v>
      </c>
      <c r="G1935" s="23">
        <v>45085</v>
      </c>
      <c r="H1935" s="24" t="s">
        <v>5711</v>
      </c>
      <c r="J1935" s="28" t="s">
        <v>51</v>
      </c>
      <c r="L1935" s="24" t="s">
        <v>5712</v>
      </c>
      <c r="M1935" s="1" t="str">
        <f>"342129198210045616"</f>
        <v>342129198210045616</v>
      </c>
      <c r="N1935" s="24" t="s">
        <v>5712</v>
      </c>
      <c r="O1935" s="1" t="str">
        <f>"342129198210045616"</f>
        <v>342129198210045616</v>
      </c>
      <c r="P1935" s="23" t="s">
        <v>5713</v>
      </c>
      <c r="Q1935" s="23">
        <v>45086</v>
      </c>
      <c r="R1935" s="32">
        <v>45452</v>
      </c>
      <c r="V1935" s="33">
        <v>100</v>
      </c>
      <c r="W1935" s="28">
        <v>64.29</v>
      </c>
      <c r="X1935" s="34" t="s">
        <v>54</v>
      </c>
      <c r="Y1935" s="33">
        <v>64.29</v>
      </c>
      <c r="AC1935" s="28">
        <v>64.29</v>
      </c>
      <c r="AD1935" s="34" t="s">
        <v>54</v>
      </c>
      <c r="AE1935" s="33">
        <v>64.29</v>
      </c>
      <c r="AN1935" s="7" t="s">
        <v>54</v>
      </c>
      <c r="AO1935" s="7" t="s">
        <v>55</v>
      </c>
      <c r="AP1935" s="7" t="s">
        <v>56</v>
      </c>
      <c r="AT1935" s="47" t="s">
        <v>57</v>
      </c>
      <c r="AU1935" s="47" t="s">
        <v>57</v>
      </c>
    </row>
    <row r="1936" spans="1:47">
      <c r="A1936" s="4" t="s">
        <v>48</v>
      </c>
      <c r="C1936" s="21"/>
      <c r="D1936" s="22" t="s">
        <v>49</v>
      </c>
      <c r="G1936" s="23">
        <v>45082</v>
      </c>
      <c r="H1936" s="24" t="s">
        <v>5714</v>
      </c>
      <c r="J1936" s="28" t="s">
        <v>51</v>
      </c>
      <c r="L1936" s="24" t="s">
        <v>5715</v>
      </c>
      <c r="M1936" s="1" t="str">
        <f>"142431198904133013"</f>
        <v>142431198904133013</v>
      </c>
      <c r="N1936" s="24" t="s">
        <v>5715</v>
      </c>
      <c r="O1936" s="1" t="str">
        <f>"142431198904133013"</f>
        <v>142431198904133013</v>
      </c>
      <c r="P1936" s="23" t="s">
        <v>5716</v>
      </c>
      <c r="Q1936" s="23">
        <v>45083</v>
      </c>
      <c r="R1936" s="32">
        <v>45449</v>
      </c>
      <c r="V1936" s="33">
        <v>100</v>
      </c>
      <c r="W1936" s="28">
        <v>64.29</v>
      </c>
      <c r="X1936" s="34" t="s">
        <v>54</v>
      </c>
      <c r="Y1936" s="33">
        <v>64.29</v>
      </c>
      <c r="AC1936" s="28">
        <v>64.29</v>
      </c>
      <c r="AD1936" s="34" t="s">
        <v>54</v>
      </c>
      <c r="AE1936" s="33">
        <v>64.29</v>
      </c>
      <c r="AN1936" s="7" t="s">
        <v>54</v>
      </c>
      <c r="AO1936" s="7" t="s">
        <v>55</v>
      </c>
      <c r="AP1936" s="7" t="s">
        <v>56</v>
      </c>
      <c r="AT1936" s="47" t="s">
        <v>57</v>
      </c>
      <c r="AU1936" s="47" t="s">
        <v>57</v>
      </c>
    </row>
    <row r="1937" spans="1:47">
      <c r="A1937" s="4" t="s">
        <v>48</v>
      </c>
      <c r="C1937" s="21"/>
      <c r="D1937" s="22" t="s">
        <v>49</v>
      </c>
      <c r="G1937" s="23">
        <v>45082</v>
      </c>
      <c r="H1937" s="24" t="s">
        <v>5717</v>
      </c>
      <c r="J1937" s="28" t="s">
        <v>51</v>
      </c>
      <c r="L1937" s="24" t="s">
        <v>5718</v>
      </c>
      <c r="M1937" s="1" t="str">
        <f>"130929199012013821"</f>
        <v>130929199012013821</v>
      </c>
      <c r="N1937" s="24" t="s">
        <v>5718</v>
      </c>
      <c r="O1937" s="1" t="str">
        <f>"130929199012013821"</f>
        <v>130929199012013821</v>
      </c>
      <c r="P1937" s="23" t="s">
        <v>5719</v>
      </c>
      <c r="Q1937" s="23">
        <v>45139</v>
      </c>
      <c r="R1937" s="32">
        <v>45505</v>
      </c>
      <c r="V1937" s="33">
        <v>100</v>
      </c>
      <c r="W1937" s="28">
        <v>64.29</v>
      </c>
      <c r="X1937" s="34" t="s">
        <v>54</v>
      </c>
      <c r="Y1937" s="33">
        <v>64.29</v>
      </c>
      <c r="AC1937" s="28">
        <v>64.29</v>
      </c>
      <c r="AD1937" s="34" t="s">
        <v>54</v>
      </c>
      <c r="AE1937" s="33">
        <v>64.29</v>
      </c>
      <c r="AN1937" s="7" t="s">
        <v>54</v>
      </c>
      <c r="AO1937" s="7" t="s">
        <v>55</v>
      </c>
      <c r="AP1937" s="7" t="s">
        <v>56</v>
      </c>
      <c r="AT1937" s="47" t="s">
        <v>57</v>
      </c>
      <c r="AU1937" s="47" t="s">
        <v>57</v>
      </c>
    </row>
    <row r="1938" spans="1:47">
      <c r="A1938" s="4" t="s">
        <v>48</v>
      </c>
      <c r="C1938" s="21"/>
      <c r="D1938" s="22" t="s">
        <v>49</v>
      </c>
      <c r="G1938" s="23">
        <v>45084</v>
      </c>
      <c r="H1938" s="24" t="s">
        <v>5720</v>
      </c>
      <c r="J1938" s="28" t="s">
        <v>51</v>
      </c>
      <c r="L1938" s="24" t="s">
        <v>5721</v>
      </c>
      <c r="M1938" s="1" t="str">
        <f>"230102196303223227"</f>
        <v>230102196303223227</v>
      </c>
      <c r="N1938" s="24" t="s">
        <v>5721</v>
      </c>
      <c r="O1938" s="1" t="str">
        <f>"230102196303223227"</f>
        <v>230102196303223227</v>
      </c>
      <c r="P1938" s="23" t="s">
        <v>5722</v>
      </c>
      <c r="Q1938" s="23">
        <v>45085</v>
      </c>
      <c r="R1938" s="32">
        <v>45451</v>
      </c>
      <c r="V1938" s="33">
        <v>100</v>
      </c>
      <c r="W1938" s="28">
        <v>64.29</v>
      </c>
      <c r="X1938" s="34" t="s">
        <v>54</v>
      </c>
      <c r="Y1938" s="33">
        <v>64.29</v>
      </c>
      <c r="AC1938" s="28">
        <v>64.29</v>
      </c>
      <c r="AD1938" s="34" t="s">
        <v>54</v>
      </c>
      <c r="AE1938" s="33">
        <v>64.29</v>
      </c>
      <c r="AN1938" s="7" t="s">
        <v>54</v>
      </c>
      <c r="AO1938" s="7" t="s">
        <v>55</v>
      </c>
      <c r="AP1938" s="7" t="s">
        <v>56</v>
      </c>
      <c r="AT1938" s="47" t="s">
        <v>57</v>
      </c>
      <c r="AU1938" s="47" t="s">
        <v>57</v>
      </c>
    </row>
    <row r="1939" spans="1:47">
      <c r="A1939" s="4" t="s">
        <v>48</v>
      </c>
      <c r="C1939" s="21"/>
      <c r="D1939" s="22" t="s">
        <v>49</v>
      </c>
      <c r="G1939" s="23">
        <v>45096</v>
      </c>
      <c r="H1939" s="24" t="s">
        <v>5723</v>
      </c>
      <c r="J1939" s="28" t="s">
        <v>51</v>
      </c>
      <c r="L1939" s="24" t="s">
        <v>5724</v>
      </c>
      <c r="M1939" s="1" t="str">
        <f>"341202196905202775"</f>
        <v>341202196905202775</v>
      </c>
      <c r="N1939" s="24" t="s">
        <v>5724</v>
      </c>
      <c r="O1939" s="1" t="str">
        <f>"341202196905202775"</f>
        <v>341202196905202775</v>
      </c>
      <c r="P1939" s="23" t="s">
        <v>5725</v>
      </c>
      <c r="Q1939" s="23">
        <v>45097</v>
      </c>
      <c r="R1939" s="32">
        <v>45463</v>
      </c>
      <c r="V1939" s="33">
        <v>200</v>
      </c>
      <c r="W1939" s="28">
        <v>64.29</v>
      </c>
      <c r="X1939" s="34" t="s">
        <v>54</v>
      </c>
      <c r="Y1939" s="33">
        <v>128.58</v>
      </c>
      <c r="AC1939" s="28">
        <v>64.29</v>
      </c>
      <c r="AD1939" s="34" t="s">
        <v>54</v>
      </c>
      <c r="AE1939" s="33">
        <v>128.58</v>
      </c>
      <c r="AN1939" s="7" t="s">
        <v>54</v>
      </c>
      <c r="AO1939" s="7" t="s">
        <v>55</v>
      </c>
      <c r="AP1939" s="7" t="s">
        <v>56</v>
      </c>
      <c r="AT1939" s="47" t="s">
        <v>57</v>
      </c>
      <c r="AU1939" s="47" t="s">
        <v>57</v>
      </c>
    </row>
    <row r="1940" spans="1:47">
      <c r="A1940" s="4" t="s">
        <v>48</v>
      </c>
      <c r="C1940" s="21"/>
      <c r="D1940" s="22" t="s">
        <v>49</v>
      </c>
      <c r="G1940" s="23">
        <v>45098</v>
      </c>
      <c r="H1940" s="24" t="s">
        <v>5726</v>
      </c>
      <c r="J1940" s="28" t="s">
        <v>51</v>
      </c>
      <c r="L1940" s="24" t="s">
        <v>5727</v>
      </c>
      <c r="M1940" s="1" t="str">
        <f>"131082197910035517"</f>
        <v>131082197910035517</v>
      </c>
      <c r="N1940" s="24" t="s">
        <v>5727</v>
      </c>
      <c r="O1940" s="1" t="str">
        <f>"131082197910035517"</f>
        <v>131082197910035517</v>
      </c>
      <c r="P1940" s="23" t="s">
        <v>5728</v>
      </c>
      <c r="Q1940" s="23">
        <v>45099</v>
      </c>
      <c r="R1940" s="32">
        <v>45465</v>
      </c>
      <c r="V1940" s="33">
        <v>200</v>
      </c>
      <c r="W1940" s="28">
        <v>64.29</v>
      </c>
      <c r="X1940" s="34" t="s">
        <v>54</v>
      </c>
      <c r="Y1940" s="33">
        <v>128.58</v>
      </c>
      <c r="AC1940" s="28">
        <v>64.29</v>
      </c>
      <c r="AD1940" s="34" t="s">
        <v>54</v>
      </c>
      <c r="AE1940" s="33">
        <v>128.58</v>
      </c>
      <c r="AN1940" s="7" t="s">
        <v>54</v>
      </c>
      <c r="AO1940" s="7" t="s">
        <v>55</v>
      </c>
      <c r="AP1940" s="7" t="s">
        <v>56</v>
      </c>
      <c r="AT1940" s="47" t="s">
        <v>57</v>
      </c>
      <c r="AU1940" s="47" t="s">
        <v>57</v>
      </c>
    </row>
    <row r="1941" spans="1:47">
      <c r="A1941" s="4" t="s">
        <v>48</v>
      </c>
      <c r="C1941" s="21"/>
      <c r="D1941" s="22" t="s">
        <v>49</v>
      </c>
      <c r="G1941" s="23">
        <v>45093</v>
      </c>
      <c r="H1941" s="24" t="s">
        <v>5729</v>
      </c>
      <c r="J1941" s="28" t="s">
        <v>51</v>
      </c>
      <c r="L1941" s="24" t="s">
        <v>5730</v>
      </c>
      <c r="M1941" s="1" t="str">
        <f>"130929199602077374"</f>
        <v>130929199602077374</v>
      </c>
      <c r="N1941" s="24" t="s">
        <v>5730</v>
      </c>
      <c r="O1941" s="1" t="str">
        <f>"130929199602077374"</f>
        <v>130929199602077374</v>
      </c>
      <c r="P1941" s="23" t="s">
        <v>5731</v>
      </c>
      <c r="Q1941" s="23">
        <v>45094</v>
      </c>
      <c r="R1941" s="32">
        <v>45460</v>
      </c>
      <c r="V1941" s="33">
        <v>200</v>
      </c>
      <c r="W1941" s="28">
        <v>64.29</v>
      </c>
      <c r="X1941" s="34" t="s">
        <v>54</v>
      </c>
      <c r="Y1941" s="33">
        <v>128.58</v>
      </c>
      <c r="AC1941" s="28">
        <v>64.29</v>
      </c>
      <c r="AD1941" s="34" t="s">
        <v>54</v>
      </c>
      <c r="AE1941" s="33">
        <v>128.58</v>
      </c>
      <c r="AN1941" s="7" t="s">
        <v>54</v>
      </c>
      <c r="AO1941" s="7" t="s">
        <v>55</v>
      </c>
      <c r="AP1941" s="7" t="s">
        <v>56</v>
      </c>
      <c r="AT1941" s="47" t="s">
        <v>57</v>
      </c>
      <c r="AU1941" s="47" t="s">
        <v>57</v>
      </c>
    </row>
    <row r="1942" spans="1:47">
      <c r="A1942" s="4" t="s">
        <v>48</v>
      </c>
      <c r="C1942" s="21"/>
      <c r="D1942" s="22" t="s">
        <v>49</v>
      </c>
      <c r="G1942" s="23">
        <v>45083</v>
      </c>
      <c r="H1942" s="24" t="s">
        <v>5732</v>
      </c>
      <c r="J1942" s="28" t="s">
        <v>51</v>
      </c>
      <c r="L1942" s="24" t="s">
        <v>5733</v>
      </c>
      <c r="M1942" s="1" t="str">
        <f>"342101196908071319"</f>
        <v>342101196908071319</v>
      </c>
      <c r="N1942" s="24" t="s">
        <v>5733</v>
      </c>
      <c r="O1942" s="1" t="str">
        <f>"342101196908071319"</f>
        <v>342101196908071319</v>
      </c>
      <c r="P1942" s="23" t="s">
        <v>5734</v>
      </c>
      <c r="Q1942" s="23">
        <v>45084</v>
      </c>
      <c r="R1942" s="32">
        <v>45450</v>
      </c>
      <c r="V1942" s="33">
        <v>50</v>
      </c>
      <c r="W1942" s="28">
        <v>64.29</v>
      </c>
      <c r="X1942" s="34" t="s">
        <v>54</v>
      </c>
      <c r="Y1942" s="33">
        <v>32.15</v>
      </c>
      <c r="AC1942" s="28">
        <v>64.29</v>
      </c>
      <c r="AD1942" s="34" t="s">
        <v>54</v>
      </c>
      <c r="AE1942" s="33">
        <v>32.15</v>
      </c>
      <c r="AN1942" s="7" t="s">
        <v>54</v>
      </c>
      <c r="AO1942" s="7" t="s">
        <v>55</v>
      </c>
      <c r="AP1942" s="7" t="s">
        <v>56</v>
      </c>
      <c r="AT1942" s="47" t="s">
        <v>57</v>
      </c>
      <c r="AU1942" s="47" t="s">
        <v>57</v>
      </c>
    </row>
    <row r="1943" spans="1:47">
      <c r="A1943" s="4" t="s">
        <v>48</v>
      </c>
      <c r="C1943" s="21"/>
      <c r="D1943" s="22" t="s">
        <v>49</v>
      </c>
      <c r="G1943" s="23">
        <v>45083</v>
      </c>
      <c r="H1943" s="24" t="s">
        <v>5735</v>
      </c>
      <c r="J1943" s="28" t="s">
        <v>51</v>
      </c>
      <c r="L1943" s="24" t="s">
        <v>5736</v>
      </c>
      <c r="M1943" s="1" t="str">
        <f>"411325200405111911"</f>
        <v>411325200405111911</v>
      </c>
      <c r="N1943" s="24" t="s">
        <v>5736</v>
      </c>
      <c r="O1943" s="1" t="str">
        <f>"411325200405111911"</f>
        <v>411325200405111911</v>
      </c>
      <c r="P1943" s="23" t="s">
        <v>5737</v>
      </c>
      <c r="Q1943" s="23">
        <v>45084</v>
      </c>
      <c r="R1943" s="32">
        <v>45450</v>
      </c>
      <c r="V1943" s="33">
        <v>50</v>
      </c>
      <c r="W1943" s="28">
        <v>64.29</v>
      </c>
      <c r="X1943" s="34" t="s">
        <v>54</v>
      </c>
      <c r="Y1943" s="33">
        <v>32.15</v>
      </c>
      <c r="AC1943" s="28">
        <v>64.29</v>
      </c>
      <c r="AD1943" s="34" t="s">
        <v>54</v>
      </c>
      <c r="AE1943" s="33">
        <v>32.15</v>
      </c>
      <c r="AN1943" s="7" t="s">
        <v>54</v>
      </c>
      <c r="AO1943" s="7" t="s">
        <v>55</v>
      </c>
      <c r="AP1943" s="7" t="s">
        <v>56</v>
      </c>
      <c r="AT1943" s="47" t="s">
        <v>57</v>
      </c>
      <c r="AU1943" s="47" t="s">
        <v>57</v>
      </c>
    </row>
    <row r="1944" spans="1:47">
      <c r="A1944" s="4" t="s">
        <v>48</v>
      </c>
      <c r="C1944" s="21"/>
      <c r="D1944" s="22" t="s">
        <v>49</v>
      </c>
      <c r="G1944" s="23">
        <v>45081</v>
      </c>
      <c r="H1944" s="24" t="s">
        <v>5738</v>
      </c>
      <c r="J1944" s="28" t="s">
        <v>51</v>
      </c>
      <c r="L1944" s="24" t="s">
        <v>5739</v>
      </c>
      <c r="M1944" s="1" t="str">
        <f>"341221197603120612"</f>
        <v>341221197603120612</v>
      </c>
      <c r="N1944" s="24" t="s">
        <v>5739</v>
      </c>
      <c r="O1944" s="1" t="str">
        <f>"341221197603120612"</f>
        <v>341221197603120612</v>
      </c>
      <c r="P1944" s="23" t="s">
        <v>5740</v>
      </c>
      <c r="Q1944" s="23">
        <v>45082</v>
      </c>
      <c r="R1944" s="32">
        <v>45448</v>
      </c>
      <c r="V1944" s="33">
        <v>50</v>
      </c>
      <c r="W1944" s="28">
        <v>64.29</v>
      </c>
      <c r="X1944" s="34" t="s">
        <v>54</v>
      </c>
      <c r="Y1944" s="33">
        <v>32.15</v>
      </c>
      <c r="AC1944" s="28">
        <v>64.29</v>
      </c>
      <c r="AD1944" s="34" t="s">
        <v>54</v>
      </c>
      <c r="AE1944" s="33">
        <v>32.15</v>
      </c>
      <c r="AN1944" s="7" t="s">
        <v>54</v>
      </c>
      <c r="AO1944" s="7" t="s">
        <v>55</v>
      </c>
      <c r="AP1944" s="7" t="s">
        <v>56</v>
      </c>
      <c r="AT1944" s="47" t="s">
        <v>57</v>
      </c>
      <c r="AU1944" s="47" t="s">
        <v>57</v>
      </c>
    </row>
    <row r="1945" spans="1:47">
      <c r="A1945" s="4" t="s">
        <v>48</v>
      </c>
      <c r="C1945" s="21"/>
      <c r="D1945" s="22" t="s">
        <v>49</v>
      </c>
      <c r="G1945" s="23">
        <v>45079</v>
      </c>
      <c r="H1945" s="24" t="s">
        <v>5741</v>
      </c>
      <c r="J1945" s="28" t="s">
        <v>51</v>
      </c>
      <c r="L1945" s="24" t="s">
        <v>5742</v>
      </c>
      <c r="M1945" s="1" t="str">
        <f>"130929198910155739"</f>
        <v>130929198910155739</v>
      </c>
      <c r="N1945" s="24" t="s">
        <v>5742</v>
      </c>
      <c r="O1945" s="1" t="str">
        <f>"130929198910155739"</f>
        <v>130929198910155739</v>
      </c>
      <c r="P1945" s="23" t="s">
        <v>5743</v>
      </c>
      <c r="Q1945" s="23">
        <v>45080</v>
      </c>
      <c r="R1945" s="32">
        <v>45446</v>
      </c>
      <c r="V1945" s="33">
        <v>50</v>
      </c>
      <c r="W1945" s="28">
        <v>64.29</v>
      </c>
      <c r="X1945" s="34" t="s">
        <v>54</v>
      </c>
      <c r="Y1945" s="33">
        <v>32.15</v>
      </c>
      <c r="AC1945" s="28">
        <v>64.29</v>
      </c>
      <c r="AD1945" s="34" t="s">
        <v>54</v>
      </c>
      <c r="AE1945" s="33">
        <v>32.15</v>
      </c>
      <c r="AN1945" s="7" t="s">
        <v>54</v>
      </c>
      <c r="AO1945" s="7" t="s">
        <v>55</v>
      </c>
      <c r="AP1945" s="7" t="s">
        <v>56</v>
      </c>
      <c r="AT1945" s="47" t="s">
        <v>57</v>
      </c>
      <c r="AU1945" s="47" t="s">
        <v>57</v>
      </c>
    </row>
    <row r="1946" spans="1:47">
      <c r="A1946" s="4" t="s">
        <v>48</v>
      </c>
      <c r="C1946" s="21"/>
      <c r="D1946" s="22" t="s">
        <v>49</v>
      </c>
      <c r="G1946" s="23">
        <v>45083</v>
      </c>
      <c r="H1946" s="24" t="s">
        <v>5744</v>
      </c>
      <c r="J1946" s="28" t="s">
        <v>51</v>
      </c>
      <c r="L1946" s="24" t="s">
        <v>5745</v>
      </c>
      <c r="M1946" s="1" t="str">
        <f>"13282319691102131X"</f>
        <v>13282319691102131X</v>
      </c>
      <c r="N1946" s="24" t="s">
        <v>5745</v>
      </c>
      <c r="O1946" s="1" t="str">
        <f>"13282319691102131X"</f>
        <v>13282319691102131X</v>
      </c>
      <c r="P1946" s="23" t="s">
        <v>5746</v>
      </c>
      <c r="Q1946" s="23">
        <v>45084</v>
      </c>
      <c r="R1946" s="32">
        <v>45450</v>
      </c>
      <c r="V1946" s="33">
        <v>100</v>
      </c>
      <c r="W1946" s="28">
        <v>64.29</v>
      </c>
      <c r="X1946" s="34" t="s">
        <v>54</v>
      </c>
      <c r="Y1946" s="33">
        <v>64.29</v>
      </c>
      <c r="AC1946" s="28">
        <v>64.29</v>
      </c>
      <c r="AD1946" s="34" t="s">
        <v>54</v>
      </c>
      <c r="AE1946" s="33">
        <v>64.29</v>
      </c>
      <c r="AN1946" s="7" t="s">
        <v>54</v>
      </c>
      <c r="AO1946" s="7" t="s">
        <v>55</v>
      </c>
      <c r="AP1946" s="7" t="s">
        <v>56</v>
      </c>
      <c r="AT1946" s="47" t="s">
        <v>57</v>
      </c>
      <c r="AU1946" s="47" t="s">
        <v>57</v>
      </c>
    </row>
    <row r="1947" spans="1:47">
      <c r="A1947" s="4" t="s">
        <v>48</v>
      </c>
      <c r="C1947" s="21"/>
      <c r="D1947" s="22" t="s">
        <v>49</v>
      </c>
      <c r="G1947" s="23">
        <v>45083</v>
      </c>
      <c r="H1947" s="24" t="s">
        <v>5747</v>
      </c>
      <c r="J1947" s="28" t="s">
        <v>51</v>
      </c>
      <c r="L1947" s="24" t="s">
        <v>5748</v>
      </c>
      <c r="M1947" s="1" t="str">
        <f>"342122196211120039"</f>
        <v>342122196211120039</v>
      </c>
      <c r="N1947" s="24" t="s">
        <v>5748</v>
      </c>
      <c r="O1947" s="1" t="str">
        <f>"342122196211120039"</f>
        <v>342122196211120039</v>
      </c>
      <c r="P1947" s="23" t="s">
        <v>5749</v>
      </c>
      <c r="Q1947" s="23">
        <v>45084</v>
      </c>
      <c r="R1947" s="32">
        <v>45450</v>
      </c>
      <c r="V1947" s="33">
        <v>100</v>
      </c>
      <c r="W1947" s="28">
        <v>64.29</v>
      </c>
      <c r="X1947" s="34" t="s">
        <v>54</v>
      </c>
      <c r="Y1947" s="33">
        <v>64.29</v>
      </c>
      <c r="AC1947" s="28">
        <v>64.29</v>
      </c>
      <c r="AD1947" s="34" t="s">
        <v>54</v>
      </c>
      <c r="AE1947" s="33">
        <v>64.29</v>
      </c>
      <c r="AN1947" s="7" t="s">
        <v>54</v>
      </c>
      <c r="AO1947" s="7" t="s">
        <v>55</v>
      </c>
      <c r="AP1947" s="7" t="s">
        <v>56</v>
      </c>
      <c r="AT1947" s="47" t="s">
        <v>57</v>
      </c>
      <c r="AU1947" s="47" t="s">
        <v>57</v>
      </c>
    </row>
    <row r="1948" spans="1:47">
      <c r="A1948" s="4" t="s">
        <v>48</v>
      </c>
      <c r="C1948" s="21"/>
      <c r="D1948" s="22" t="s">
        <v>49</v>
      </c>
      <c r="G1948" s="23">
        <v>45082</v>
      </c>
      <c r="H1948" s="24" t="s">
        <v>5750</v>
      </c>
      <c r="J1948" s="28" t="s">
        <v>51</v>
      </c>
      <c r="L1948" s="24" t="s">
        <v>5751</v>
      </c>
      <c r="M1948" s="1" t="str">
        <f>"110223198701075329"</f>
        <v>110223198701075329</v>
      </c>
      <c r="N1948" s="24" t="s">
        <v>5751</v>
      </c>
      <c r="O1948" s="1" t="str">
        <f>"110223198701075329"</f>
        <v>110223198701075329</v>
      </c>
      <c r="P1948" s="23" t="s">
        <v>5752</v>
      </c>
      <c r="Q1948" s="23">
        <v>45083</v>
      </c>
      <c r="R1948" s="32">
        <v>45449</v>
      </c>
      <c r="V1948" s="33">
        <v>100</v>
      </c>
      <c r="W1948" s="28">
        <v>64.29</v>
      </c>
      <c r="X1948" s="34" t="s">
        <v>54</v>
      </c>
      <c r="Y1948" s="33">
        <v>64.29</v>
      </c>
      <c r="AC1948" s="28">
        <v>64.29</v>
      </c>
      <c r="AD1948" s="34" t="s">
        <v>54</v>
      </c>
      <c r="AE1948" s="33">
        <v>64.29</v>
      </c>
      <c r="AN1948" s="7" t="s">
        <v>54</v>
      </c>
      <c r="AO1948" s="7" t="s">
        <v>55</v>
      </c>
      <c r="AP1948" s="7" t="s">
        <v>56</v>
      </c>
      <c r="AT1948" s="47" t="s">
        <v>57</v>
      </c>
      <c r="AU1948" s="47" t="s">
        <v>57</v>
      </c>
    </row>
    <row r="1949" spans="1:47">
      <c r="A1949" s="4" t="s">
        <v>48</v>
      </c>
      <c r="C1949" s="21"/>
      <c r="D1949" s="22" t="s">
        <v>49</v>
      </c>
      <c r="G1949" s="23">
        <v>45084</v>
      </c>
      <c r="H1949" s="24" t="s">
        <v>5753</v>
      </c>
      <c r="J1949" s="28" t="s">
        <v>51</v>
      </c>
      <c r="L1949" s="24" t="s">
        <v>5754</v>
      </c>
      <c r="M1949" s="1" t="str">
        <f>"132823196005250030"</f>
        <v>132823196005250030</v>
      </c>
      <c r="N1949" s="24" t="s">
        <v>5754</v>
      </c>
      <c r="O1949" s="1" t="str">
        <f>"132823196005250030"</f>
        <v>132823196005250030</v>
      </c>
      <c r="P1949" s="23" t="s">
        <v>5755</v>
      </c>
      <c r="Q1949" s="23">
        <v>45261</v>
      </c>
      <c r="R1949" s="32">
        <v>45627</v>
      </c>
      <c r="V1949" s="33">
        <v>100</v>
      </c>
      <c r="W1949" s="28">
        <v>64.29</v>
      </c>
      <c r="X1949" s="34" t="s">
        <v>54</v>
      </c>
      <c r="Y1949" s="33">
        <v>64.29</v>
      </c>
      <c r="AC1949" s="28">
        <v>64.29</v>
      </c>
      <c r="AD1949" s="34" t="s">
        <v>54</v>
      </c>
      <c r="AE1949" s="33">
        <v>64.29</v>
      </c>
      <c r="AN1949" s="7" t="s">
        <v>54</v>
      </c>
      <c r="AO1949" s="7" t="s">
        <v>55</v>
      </c>
      <c r="AP1949" s="7" t="s">
        <v>56</v>
      </c>
      <c r="AT1949" s="47" t="s">
        <v>57</v>
      </c>
      <c r="AU1949" s="47" t="s">
        <v>57</v>
      </c>
    </row>
    <row r="1950" spans="1:47">
      <c r="A1950" s="4" t="s">
        <v>48</v>
      </c>
      <c r="C1950" s="21"/>
      <c r="D1950" s="22" t="s">
        <v>49</v>
      </c>
      <c r="G1950" s="23">
        <v>45084</v>
      </c>
      <c r="H1950" s="24" t="s">
        <v>5756</v>
      </c>
      <c r="J1950" s="28" t="s">
        <v>51</v>
      </c>
      <c r="L1950" s="24" t="s">
        <v>5757</v>
      </c>
      <c r="M1950" s="1" t="str">
        <f>"342122196804172715"</f>
        <v>342122196804172715</v>
      </c>
      <c r="N1950" s="24" t="s">
        <v>5757</v>
      </c>
      <c r="O1950" s="1" t="str">
        <f>"342122196804172715"</f>
        <v>342122196804172715</v>
      </c>
      <c r="P1950" s="23" t="s">
        <v>5758</v>
      </c>
      <c r="Q1950" s="23">
        <v>45231</v>
      </c>
      <c r="R1950" s="32">
        <v>45597</v>
      </c>
      <c r="V1950" s="33">
        <v>100</v>
      </c>
      <c r="W1950" s="28">
        <v>64.29</v>
      </c>
      <c r="X1950" s="34" t="s">
        <v>54</v>
      </c>
      <c r="Y1950" s="33">
        <v>64.29</v>
      </c>
      <c r="AC1950" s="28">
        <v>64.29</v>
      </c>
      <c r="AD1950" s="34" t="s">
        <v>54</v>
      </c>
      <c r="AE1950" s="33">
        <v>64.29</v>
      </c>
      <c r="AN1950" s="7" t="s">
        <v>54</v>
      </c>
      <c r="AO1950" s="7" t="s">
        <v>55</v>
      </c>
      <c r="AP1950" s="7" t="s">
        <v>56</v>
      </c>
      <c r="AT1950" s="47" t="s">
        <v>57</v>
      </c>
      <c r="AU1950" s="47" t="s">
        <v>57</v>
      </c>
    </row>
    <row r="1951" spans="1:47">
      <c r="A1951" s="4" t="s">
        <v>48</v>
      </c>
      <c r="C1951" s="21"/>
      <c r="D1951" s="22" t="s">
        <v>49</v>
      </c>
      <c r="G1951" s="23">
        <v>45083</v>
      </c>
      <c r="H1951" s="24" t="s">
        <v>5759</v>
      </c>
      <c r="J1951" s="28" t="s">
        <v>51</v>
      </c>
      <c r="L1951" s="24" t="s">
        <v>5760</v>
      </c>
      <c r="M1951" s="1" t="str">
        <f>"341221200004178518"</f>
        <v>341221200004178518</v>
      </c>
      <c r="N1951" s="24" t="s">
        <v>5760</v>
      </c>
      <c r="O1951" s="1" t="str">
        <f>"341221200004178518"</f>
        <v>341221200004178518</v>
      </c>
      <c r="P1951" s="23" t="s">
        <v>5761</v>
      </c>
      <c r="Q1951" s="23">
        <v>45084</v>
      </c>
      <c r="R1951" s="32">
        <v>45450</v>
      </c>
      <c r="V1951" s="33">
        <v>100</v>
      </c>
      <c r="W1951" s="28">
        <v>64.29</v>
      </c>
      <c r="X1951" s="34" t="s">
        <v>54</v>
      </c>
      <c r="Y1951" s="33">
        <v>64.29</v>
      </c>
      <c r="AC1951" s="28">
        <v>64.29</v>
      </c>
      <c r="AD1951" s="34" t="s">
        <v>54</v>
      </c>
      <c r="AE1951" s="33">
        <v>64.29</v>
      </c>
      <c r="AN1951" s="7" t="s">
        <v>54</v>
      </c>
      <c r="AO1951" s="7" t="s">
        <v>55</v>
      </c>
      <c r="AP1951" s="7" t="s">
        <v>56</v>
      </c>
      <c r="AT1951" s="47" t="s">
        <v>57</v>
      </c>
      <c r="AU1951" s="47" t="s">
        <v>57</v>
      </c>
    </row>
    <row r="1952" spans="1:47">
      <c r="A1952" s="4" t="s">
        <v>48</v>
      </c>
      <c r="C1952" s="21"/>
      <c r="D1952" s="22" t="s">
        <v>49</v>
      </c>
      <c r="G1952" s="23">
        <v>45093</v>
      </c>
      <c r="H1952" s="24" t="s">
        <v>5762</v>
      </c>
      <c r="J1952" s="28" t="s">
        <v>51</v>
      </c>
      <c r="L1952" s="24" t="s">
        <v>5763</v>
      </c>
      <c r="M1952" s="1" t="str">
        <f>"120222199001103843"</f>
        <v>120222199001103843</v>
      </c>
      <c r="N1952" s="24" t="s">
        <v>5763</v>
      </c>
      <c r="O1952" s="1" t="str">
        <f>"120222199001103843"</f>
        <v>120222199001103843</v>
      </c>
      <c r="P1952" s="23" t="s">
        <v>5764</v>
      </c>
      <c r="Q1952" s="23">
        <v>45094</v>
      </c>
      <c r="R1952" s="32">
        <v>45460</v>
      </c>
      <c r="V1952" s="33">
        <v>200</v>
      </c>
      <c r="W1952" s="28">
        <v>64.29</v>
      </c>
      <c r="X1952" s="34" t="s">
        <v>54</v>
      </c>
      <c r="Y1952" s="33">
        <v>128.58</v>
      </c>
      <c r="AC1952" s="28">
        <v>64.29</v>
      </c>
      <c r="AD1952" s="34" t="s">
        <v>54</v>
      </c>
      <c r="AE1952" s="33">
        <v>128.58</v>
      </c>
      <c r="AN1952" s="7" t="s">
        <v>54</v>
      </c>
      <c r="AO1952" s="7" t="s">
        <v>55</v>
      </c>
      <c r="AP1952" s="7" t="s">
        <v>56</v>
      </c>
      <c r="AT1952" s="47" t="s">
        <v>57</v>
      </c>
      <c r="AU1952" s="47" t="s">
        <v>57</v>
      </c>
    </row>
    <row r="1953" spans="1:47">
      <c r="A1953" s="4" t="s">
        <v>48</v>
      </c>
      <c r="C1953" s="21"/>
      <c r="D1953" s="22" t="s">
        <v>49</v>
      </c>
      <c r="G1953" s="23">
        <v>45093</v>
      </c>
      <c r="H1953" s="24" t="s">
        <v>5765</v>
      </c>
      <c r="J1953" s="28" t="s">
        <v>51</v>
      </c>
      <c r="L1953" s="24" t="s">
        <v>5766</v>
      </c>
      <c r="M1953" s="1" t="str">
        <f>"341226198511065210"</f>
        <v>341226198511065210</v>
      </c>
      <c r="N1953" s="24" t="s">
        <v>5766</v>
      </c>
      <c r="O1953" s="1" t="str">
        <f>"341226198511065210"</f>
        <v>341226198511065210</v>
      </c>
      <c r="P1953" s="23" t="s">
        <v>5767</v>
      </c>
      <c r="Q1953" s="23">
        <v>45094</v>
      </c>
      <c r="R1953" s="32">
        <v>45460</v>
      </c>
      <c r="V1953" s="33">
        <v>200</v>
      </c>
      <c r="W1953" s="28">
        <v>64.29</v>
      </c>
      <c r="X1953" s="34" t="s">
        <v>54</v>
      </c>
      <c r="Y1953" s="33">
        <v>128.58</v>
      </c>
      <c r="AC1953" s="28">
        <v>64.29</v>
      </c>
      <c r="AD1953" s="34" t="s">
        <v>54</v>
      </c>
      <c r="AE1953" s="33">
        <v>128.58</v>
      </c>
      <c r="AN1953" s="7" t="s">
        <v>54</v>
      </c>
      <c r="AO1953" s="7" t="s">
        <v>55</v>
      </c>
      <c r="AP1953" s="7" t="s">
        <v>56</v>
      </c>
      <c r="AT1953" s="47" t="s">
        <v>57</v>
      </c>
      <c r="AU1953" s="47" t="s">
        <v>57</v>
      </c>
    </row>
    <row r="1954" spans="1:47">
      <c r="A1954" s="4" t="s">
        <v>48</v>
      </c>
      <c r="C1954" s="21"/>
      <c r="D1954" s="22" t="s">
        <v>49</v>
      </c>
      <c r="G1954" s="23">
        <v>45093</v>
      </c>
      <c r="H1954" s="24" t="s">
        <v>5768</v>
      </c>
      <c r="J1954" s="28" t="s">
        <v>51</v>
      </c>
      <c r="L1954" s="24" t="s">
        <v>5769</v>
      </c>
      <c r="M1954" s="1" t="str">
        <f>"342122197907088529"</f>
        <v>342122197907088529</v>
      </c>
      <c r="N1954" s="24" t="s">
        <v>5769</v>
      </c>
      <c r="O1954" s="1" t="str">
        <f>"342122197907088529"</f>
        <v>342122197907088529</v>
      </c>
      <c r="P1954" s="23" t="s">
        <v>5770</v>
      </c>
      <c r="Q1954" s="23">
        <v>45200</v>
      </c>
      <c r="R1954" s="32">
        <v>45566</v>
      </c>
      <c r="V1954" s="33">
        <v>200</v>
      </c>
      <c r="W1954" s="28">
        <v>64.29</v>
      </c>
      <c r="X1954" s="34" t="s">
        <v>54</v>
      </c>
      <c r="Y1954" s="33">
        <v>128.58</v>
      </c>
      <c r="AC1954" s="28">
        <v>64.29</v>
      </c>
      <c r="AD1954" s="34" t="s">
        <v>54</v>
      </c>
      <c r="AE1954" s="33">
        <v>128.58</v>
      </c>
      <c r="AN1954" s="7" t="s">
        <v>54</v>
      </c>
      <c r="AO1954" s="7" t="s">
        <v>55</v>
      </c>
      <c r="AP1954" s="7" t="s">
        <v>56</v>
      </c>
      <c r="AT1954" s="47" t="s">
        <v>57</v>
      </c>
      <c r="AU1954" s="47" t="s">
        <v>57</v>
      </c>
    </row>
    <row r="1955" spans="1:47">
      <c r="A1955" s="4" t="s">
        <v>48</v>
      </c>
      <c r="C1955" s="21"/>
      <c r="D1955" s="22" t="s">
        <v>49</v>
      </c>
      <c r="G1955" s="23">
        <v>45093</v>
      </c>
      <c r="H1955" s="24" t="s">
        <v>5771</v>
      </c>
      <c r="J1955" s="28" t="s">
        <v>51</v>
      </c>
      <c r="L1955" s="24" t="s">
        <v>5772</v>
      </c>
      <c r="M1955" s="1" t="str">
        <f>"130229198503144815"</f>
        <v>130229198503144815</v>
      </c>
      <c r="N1955" s="24" t="s">
        <v>5772</v>
      </c>
      <c r="O1955" s="1" t="str">
        <f>"130229198503144815"</f>
        <v>130229198503144815</v>
      </c>
      <c r="P1955" s="23" t="s">
        <v>5773</v>
      </c>
      <c r="Q1955" s="23">
        <v>45094</v>
      </c>
      <c r="R1955" s="32">
        <v>45460</v>
      </c>
      <c r="V1955" s="33">
        <v>100</v>
      </c>
      <c r="W1955" s="28">
        <v>64.29</v>
      </c>
      <c r="X1955" s="34" t="s">
        <v>54</v>
      </c>
      <c r="Y1955" s="33">
        <v>64.29</v>
      </c>
      <c r="AC1955" s="28">
        <v>64.29</v>
      </c>
      <c r="AD1955" s="34" t="s">
        <v>54</v>
      </c>
      <c r="AE1955" s="33">
        <v>64.29</v>
      </c>
      <c r="AN1955" s="7" t="s">
        <v>54</v>
      </c>
      <c r="AO1955" s="7" t="s">
        <v>55</v>
      </c>
      <c r="AP1955" s="7" t="s">
        <v>56</v>
      </c>
      <c r="AT1955" s="47" t="s">
        <v>57</v>
      </c>
      <c r="AU1955" s="47" t="s">
        <v>57</v>
      </c>
    </row>
    <row r="1956" spans="1:47">
      <c r="A1956" s="4" t="s">
        <v>48</v>
      </c>
      <c r="C1956" s="21"/>
      <c r="D1956" s="22" t="s">
        <v>49</v>
      </c>
      <c r="G1956" s="23">
        <v>45093</v>
      </c>
      <c r="H1956" s="24" t="s">
        <v>5774</v>
      </c>
      <c r="J1956" s="28" t="s">
        <v>51</v>
      </c>
      <c r="L1956" s="24" t="s">
        <v>5775</v>
      </c>
      <c r="M1956" s="1" t="str">
        <f>"372501197612210334"</f>
        <v>372501197612210334</v>
      </c>
      <c r="N1956" s="24" t="s">
        <v>5775</v>
      </c>
      <c r="O1956" s="1" t="str">
        <f>"372501197612210334"</f>
        <v>372501197612210334</v>
      </c>
      <c r="P1956" s="23" t="s">
        <v>5776</v>
      </c>
      <c r="Q1956" s="23">
        <v>45108</v>
      </c>
      <c r="R1956" s="32">
        <v>45474</v>
      </c>
      <c r="V1956" s="33">
        <v>100</v>
      </c>
      <c r="W1956" s="28">
        <v>64.29</v>
      </c>
      <c r="X1956" s="34" t="s">
        <v>54</v>
      </c>
      <c r="Y1956" s="33">
        <v>64.29</v>
      </c>
      <c r="AC1956" s="28">
        <v>64.29</v>
      </c>
      <c r="AD1956" s="34" t="s">
        <v>54</v>
      </c>
      <c r="AE1956" s="33">
        <v>64.29</v>
      </c>
      <c r="AN1956" s="7" t="s">
        <v>54</v>
      </c>
      <c r="AO1956" s="7" t="s">
        <v>55</v>
      </c>
      <c r="AP1956" s="7" t="s">
        <v>56</v>
      </c>
      <c r="AT1956" s="47" t="s">
        <v>57</v>
      </c>
      <c r="AU1956" s="47" t="s">
        <v>57</v>
      </c>
    </row>
    <row r="1957" spans="1:47">
      <c r="A1957" s="4" t="s">
        <v>48</v>
      </c>
      <c r="C1957" s="21"/>
      <c r="D1957" s="22" t="s">
        <v>49</v>
      </c>
      <c r="G1957" s="23">
        <v>45083</v>
      </c>
      <c r="H1957" s="24" t="s">
        <v>5777</v>
      </c>
      <c r="J1957" s="28" t="s">
        <v>51</v>
      </c>
      <c r="L1957" s="24" t="s">
        <v>5778</v>
      </c>
      <c r="M1957" s="1" t="str">
        <f>"372922198109205114"</f>
        <v>372922198109205114</v>
      </c>
      <c r="N1957" s="24" t="s">
        <v>5778</v>
      </c>
      <c r="O1957" s="1" t="str">
        <f>"372922198109205114"</f>
        <v>372922198109205114</v>
      </c>
      <c r="P1957" s="23" t="s">
        <v>5779</v>
      </c>
      <c r="Q1957" s="23">
        <v>45098</v>
      </c>
      <c r="R1957" s="32">
        <v>45464</v>
      </c>
      <c r="V1957" s="33">
        <v>100</v>
      </c>
      <c r="W1957" s="28">
        <v>64.29</v>
      </c>
      <c r="X1957" s="34" t="s">
        <v>54</v>
      </c>
      <c r="Y1957" s="33">
        <v>64.29</v>
      </c>
      <c r="AC1957" s="28">
        <v>64.29</v>
      </c>
      <c r="AD1957" s="34" t="s">
        <v>54</v>
      </c>
      <c r="AE1957" s="33">
        <v>64.29</v>
      </c>
      <c r="AN1957" s="7" t="s">
        <v>54</v>
      </c>
      <c r="AO1957" s="7" t="s">
        <v>55</v>
      </c>
      <c r="AP1957" s="7" t="s">
        <v>56</v>
      </c>
      <c r="AT1957" s="47" t="s">
        <v>57</v>
      </c>
      <c r="AU1957" s="47" t="s">
        <v>57</v>
      </c>
    </row>
    <row r="1958" spans="1:47">
      <c r="A1958" s="4" t="s">
        <v>48</v>
      </c>
      <c r="C1958" s="21"/>
      <c r="D1958" s="22" t="s">
        <v>49</v>
      </c>
      <c r="G1958" s="23">
        <v>45085</v>
      </c>
      <c r="H1958" s="24" t="s">
        <v>5780</v>
      </c>
      <c r="J1958" s="28" t="s">
        <v>51</v>
      </c>
      <c r="L1958" s="24" t="s">
        <v>5781</v>
      </c>
      <c r="M1958" s="1" t="str">
        <f>"341226198502182749"</f>
        <v>341226198502182749</v>
      </c>
      <c r="N1958" s="24" t="s">
        <v>5781</v>
      </c>
      <c r="O1958" s="1" t="str">
        <f>"341226198502182749"</f>
        <v>341226198502182749</v>
      </c>
      <c r="P1958" s="23" t="s">
        <v>5782</v>
      </c>
      <c r="Q1958" s="23">
        <v>45178</v>
      </c>
      <c r="R1958" s="32">
        <v>45544</v>
      </c>
      <c r="V1958" s="33">
        <v>100</v>
      </c>
      <c r="W1958" s="28">
        <v>64.29</v>
      </c>
      <c r="X1958" s="34" t="s">
        <v>54</v>
      </c>
      <c r="Y1958" s="33">
        <v>64.29</v>
      </c>
      <c r="AC1958" s="28">
        <v>64.29</v>
      </c>
      <c r="AD1958" s="34" t="s">
        <v>54</v>
      </c>
      <c r="AE1958" s="33">
        <v>64.29</v>
      </c>
      <c r="AN1958" s="7" t="s">
        <v>54</v>
      </c>
      <c r="AO1958" s="7" t="s">
        <v>55</v>
      </c>
      <c r="AP1958" s="7" t="s">
        <v>56</v>
      </c>
      <c r="AT1958" s="47" t="s">
        <v>57</v>
      </c>
      <c r="AU1958" s="47" t="s">
        <v>57</v>
      </c>
    </row>
    <row r="1959" spans="1:47">
      <c r="A1959" s="4" t="s">
        <v>48</v>
      </c>
      <c r="C1959" s="21"/>
      <c r="D1959" s="22" t="s">
        <v>49</v>
      </c>
      <c r="G1959" s="23">
        <v>45083</v>
      </c>
      <c r="H1959" s="24" t="s">
        <v>5783</v>
      </c>
      <c r="J1959" s="28" t="s">
        <v>51</v>
      </c>
      <c r="L1959" s="24" t="s">
        <v>5784</v>
      </c>
      <c r="M1959" s="1" t="str">
        <f>"341202199312151523"</f>
        <v>341202199312151523</v>
      </c>
      <c r="N1959" s="24" t="s">
        <v>5784</v>
      </c>
      <c r="O1959" s="1" t="str">
        <f>"341202199312151523"</f>
        <v>341202199312151523</v>
      </c>
      <c r="P1959" s="23" t="s">
        <v>5785</v>
      </c>
      <c r="Q1959" s="23">
        <v>45158</v>
      </c>
      <c r="R1959" s="32">
        <v>45524</v>
      </c>
      <c r="V1959" s="33">
        <v>100</v>
      </c>
      <c r="W1959" s="28">
        <v>64.29</v>
      </c>
      <c r="X1959" s="34" t="s">
        <v>54</v>
      </c>
      <c r="Y1959" s="33">
        <v>64.29</v>
      </c>
      <c r="AC1959" s="28">
        <v>64.29</v>
      </c>
      <c r="AD1959" s="34" t="s">
        <v>54</v>
      </c>
      <c r="AE1959" s="33">
        <v>64.29</v>
      </c>
      <c r="AN1959" s="7" t="s">
        <v>54</v>
      </c>
      <c r="AO1959" s="7" t="s">
        <v>55</v>
      </c>
      <c r="AP1959" s="7" t="s">
        <v>56</v>
      </c>
      <c r="AT1959" s="47" t="s">
        <v>57</v>
      </c>
      <c r="AU1959" s="47" t="s">
        <v>57</v>
      </c>
    </row>
    <row r="1960" spans="1:47">
      <c r="A1960" s="4" t="s">
        <v>48</v>
      </c>
      <c r="C1960" s="21"/>
      <c r="D1960" s="22" t="s">
        <v>49</v>
      </c>
      <c r="G1960" s="23">
        <v>45084</v>
      </c>
      <c r="H1960" s="24" t="s">
        <v>5786</v>
      </c>
      <c r="J1960" s="28" t="s">
        <v>51</v>
      </c>
      <c r="L1960" s="24" t="s">
        <v>5787</v>
      </c>
      <c r="M1960" s="1" t="str">
        <f>"152104197006270325"</f>
        <v>152104197006270325</v>
      </c>
      <c r="N1960" s="24" t="s">
        <v>5787</v>
      </c>
      <c r="O1960" s="1" t="str">
        <f>"152104197006270325"</f>
        <v>152104197006270325</v>
      </c>
      <c r="P1960" s="23" t="s">
        <v>5788</v>
      </c>
      <c r="Q1960" s="23">
        <v>45085</v>
      </c>
      <c r="R1960" s="32">
        <v>45451</v>
      </c>
      <c r="V1960" s="33">
        <v>100</v>
      </c>
      <c r="W1960" s="28">
        <v>64.29</v>
      </c>
      <c r="X1960" s="34" t="s">
        <v>54</v>
      </c>
      <c r="Y1960" s="33">
        <v>64.29</v>
      </c>
      <c r="AC1960" s="28">
        <v>64.29</v>
      </c>
      <c r="AD1960" s="34" t="s">
        <v>54</v>
      </c>
      <c r="AE1960" s="33">
        <v>64.29</v>
      </c>
      <c r="AN1960" s="7" t="s">
        <v>54</v>
      </c>
      <c r="AO1960" s="7" t="s">
        <v>55</v>
      </c>
      <c r="AP1960" s="7" t="s">
        <v>56</v>
      </c>
      <c r="AT1960" s="47" t="s">
        <v>57</v>
      </c>
      <c r="AU1960" s="47" t="s">
        <v>57</v>
      </c>
    </row>
    <row r="1961" spans="1:47">
      <c r="A1961" s="4" t="s">
        <v>48</v>
      </c>
      <c r="C1961" s="21"/>
      <c r="D1961" s="22" t="s">
        <v>49</v>
      </c>
      <c r="G1961" s="23">
        <v>45091</v>
      </c>
      <c r="H1961" s="24" t="s">
        <v>5789</v>
      </c>
      <c r="J1961" s="28" t="s">
        <v>51</v>
      </c>
      <c r="L1961" s="24" t="s">
        <v>5790</v>
      </c>
      <c r="M1961" s="1" t="str">
        <f>"341226199012023846"</f>
        <v>341226199012023846</v>
      </c>
      <c r="N1961" s="24" t="s">
        <v>5790</v>
      </c>
      <c r="O1961" s="1" t="str">
        <f>"341226199012023846"</f>
        <v>341226199012023846</v>
      </c>
      <c r="P1961" s="23" t="s">
        <v>1094</v>
      </c>
      <c r="Q1961" s="23">
        <v>45146</v>
      </c>
      <c r="R1961" s="32">
        <v>45512</v>
      </c>
      <c r="V1961" s="33">
        <v>200</v>
      </c>
      <c r="W1961" s="28">
        <v>64.29</v>
      </c>
      <c r="X1961" s="34" t="s">
        <v>54</v>
      </c>
      <c r="Y1961" s="33">
        <v>128.58</v>
      </c>
      <c r="AC1961" s="28">
        <v>64.29</v>
      </c>
      <c r="AD1961" s="34" t="s">
        <v>54</v>
      </c>
      <c r="AE1961" s="33">
        <v>128.58</v>
      </c>
      <c r="AN1961" s="7" t="s">
        <v>54</v>
      </c>
      <c r="AO1961" s="7" t="s">
        <v>55</v>
      </c>
      <c r="AP1961" s="7" t="s">
        <v>56</v>
      </c>
      <c r="AT1961" s="47" t="s">
        <v>57</v>
      </c>
      <c r="AU1961" s="47" t="s">
        <v>57</v>
      </c>
    </row>
    <row r="1962" spans="1:47">
      <c r="A1962" s="4" t="s">
        <v>48</v>
      </c>
      <c r="C1962" s="21"/>
      <c r="D1962" s="22" t="s">
        <v>49</v>
      </c>
      <c r="G1962" s="23">
        <v>45092</v>
      </c>
      <c r="H1962" s="24" t="s">
        <v>5791</v>
      </c>
      <c r="J1962" s="28" t="s">
        <v>51</v>
      </c>
      <c r="L1962" s="24" t="s">
        <v>2244</v>
      </c>
      <c r="M1962" s="1" t="str">
        <f>"110108196002156412"</f>
        <v>110108196002156412</v>
      </c>
      <c r="N1962" s="24" t="s">
        <v>2244</v>
      </c>
      <c r="O1962" s="1" t="str">
        <f>"110108196002156412"</f>
        <v>110108196002156412</v>
      </c>
      <c r="P1962" s="23" t="s">
        <v>5792</v>
      </c>
      <c r="Q1962" s="23">
        <v>45093</v>
      </c>
      <c r="R1962" s="32">
        <v>45459</v>
      </c>
      <c r="V1962" s="33">
        <v>200</v>
      </c>
      <c r="W1962" s="28">
        <v>64.29</v>
      </c>
      <c r="X1962" s="34" t="s">
        <v>54</v>
      </c>
      <c r="Y1962" s="33">
        <v>128.58</v>
      </c>
      <c r="AC1962" s="28">
        <v>64.29</v>
      </c>
      <c r="AD1962" s="34" t="s">
        <v>54</v>
      </c>
      <c r="AE1962" s="33">
        <v>128.58</v>
      </c>
      <c r="AN1962" s="7" t="s">
        <v>54</v>
      </c>
      <c r="AO1962" s="7" t="s">
        <v>55</v>
      </c>
      <c r="AP1962" s="7" t="s">
        <v>56</v>
      </c>
      <c r="AT1962" s="47" t="s">
        <v>57</v>
      </c>
      <c r="AU1962" s="47" t="s">
        <v>57</v>
      </c>
    </row>
    <row r="1963" spans="1:47">
      <c r="A1963" s="4" t="s">
        <v>48</v>
      </c>
      <c r="C1963" s="21"/>
      <c r="D1963" s="22" t="s">
        <v>49</v>
      </c>
      <c r="G1963" s="23">
        <v>45077</v>
      </c>
      <c r="H1963" s="24" t="s">
        <v>5793</v>
      </c>
      <c r="J1963" s="28" t="s">
        <v>51</v>
      </c>
      <c r="L1963" s="24" t="s">
        <v>5794</v>
      </c>
      <c r="M1963" s="1" t="str">
        <f>"342101196110271311"</f>
        <v>342101196110271311</v>
      </c>
      <c r="N1963" s="24" t="s">
        <v>5794</v>
      </c>
      <c r="O1963" s="1" t="str">
        <f>"342101196110271311"</f>
        <v>342101196110271311</v>
      </c>
      <c r="P1963" s="23" t="s">
        <v>5795</v>
      </c>
      <c r="Q1963" s="23">
        <v>45078</v>
      </c>
      <c r="R1963" s="32">
        <v>45444</v>
      </c>
      <c r="V1963" s="33">
        <v>50</v>
      </c>
      <c r="W1963" s="28">
        <v>64.29</v>
      </c>
      <c r="X1963" s="34" t="s">
        <v>54</v>
      </c>
      <c r="Y1963" s="33">
        <v>32.15</v>
      </c>
      <c r="AC1963" s="28">
        <v>64.29</v>
      </c>
      <c r="AD1963" s="34" t="s">
        <v>54</v>
      </c>
      <c r="AE1963" s="33">
        <v>32.15</v>
      </c>
      <c r="AN1963" s="7" t="s">
        <v>54</v>
      </c>
      <c r="AO1963" s="7" t="s">
        <v>55</v>
      </c>
      <c r="AP1963" s="7" t="s">
        <v>56</v>
      </c>
      <c r="AT1963" s="47" t="s">
        <v>57</v>
      </c>
      <c r="AU1963" s="47" t="s">
        <v>57</v>
      </c>
    </row>
    <row r="1964" spans="1:47">
      <c r="A1964" s="4" t="s">
        <v>48</v>
      </c>
      <c r="C1964" s="21"/>
      <c r="D1964" s="22" t="s">
        <v>49</v>
      </c>
      <c r="G1964" s="23">
        <v>45078</v>
      </c>
      <c r="H1964" s="24" t="s">
        <v>5796</v>
      </c>
      <c r="J1964" s="28" t="s">
        <v>51</v>
      </c>
      <c r="L1964" s="24" t="s">
        <v>5797</v>
      </c>
      <c r="M1964" s="1" t="str">
        <f>"33082319760201233X"</f>
        <v>33082319760201233X</v>
      </c>
      <c r="N1964" s="24" t="s">
        <v>5797</v>
      </c>
      <c r="O1964" s="1" t="str">
        <f>"33082319760201233X"</f>
        <v>33082319760201233X</v>
      </c>
      <c r="P1964" s="23" t="s">
        <v>5798</v>
      </c>
      <c r="Q1964" s="23">
        <v>45079</v>
      </c>
      <c r="R1964" s="32">
        <v>45445</v>
      </c>
      <c r="V1964" s="33">
        <v>50</v>
      </c>
      <c r="W1964" s="28">
        <v>64.29</v>
      </c>
      <c r="X1964" s="34" t="s">
        <v>54</v>
      </c>
      <c r="Y1964" s="33">
        <v>32.15</v>
      </c>
      <c r="AC1964" s="28">
        <v>64.29</v>
      </c>
      <c r="AD1964" s="34" t="s">
        <v>54</v>
      </c>
      <c r="AE1964" s="33">
        <v>32.15</v>
      </c>
      <c r="AN1964" s="7" t="s">
        <v>54</v>
      </c>
      <c r="AO1964" s="7" t="s">
        <v>55</v>
      </c>
      <c r="AP1964" s="7" t="s">
        <v>56</v>
      </c>
      <c r="AT1964" s="47" t="s">
        <v>57</v>
      </c>
      <c r="AU1964" s="47" t="s">
        <v>57</v>
      </c>
    </row>
    <row r="1965" spans="1:47">
      <c r="A1965" s="4" t="s">
        <v>48</v>
      </c>
      <c r="C1965" s="21"/>
      <c r="D1965" s="22" t="s">
        <v>49</v>
      </c>
      <c r="G1965" s="23">
        <v>45078</v>
      </c>
      <c r="H1965" s="24" t="s">
        <v>5799</v>
      </c>
      <c r="J1965" s="28" t="s">
        <v>51</v>
      </c>
      <c r="L1965" s="24" t="s">
        <v>5800</v>
      </c>
      <c r="M1965" s="1" t="str">
        <f>"342101197206092224"</f>
        <v>342101197206092224</v>
      </c>
      <c r="N1965" s="24" t="s">
        <v>5800</v>
      </c>
      <c r="O1965" s="1" t="str">
        <f>"342101197206092224"</f>
        <v>342101197206092224</v>
      </c>
      <c r="P1965" s="23" t="s">
        <v>5801</v>
      </c>
      <c r="Q1965" s="23">
        <v>45079</v>
      </c>
      <c r="R1965" s="32">
        <v>45445</v>
      </c>
      <c r="V1965" s="33">
        <v>50</v>
      </c>
      <c r="W1965" s="28">
        <v>64.29</v>
      </c>
      <c r="X1965" s="34" t="s">
        <v>54</v>
      </c>
      <c r="Y1965" s="33">
        <v>32.15</v>
      </c>
      <c r="AC1965" s="28">
        <v>64.29</v>
      </c>
      <c r="AD1965" s="34" t="s">
        <v>54</v>
      </c>
      <c r="AE1965" s="33">
        <v>32.15</v>
      </c>
      <c r="AN1965" s="7" t="s">
        <v>54</v>
      </c>
      <c r="AO1965" s="7" t="s">
        <v>55</v>
      </c>
      <c r="AP1965" s="7" t="s">
        <v>56</v>
      </c>
      <c r="AT1965" s="47" t="s">
        <v>57</v>
      </c>
      <c r="AU1965" s="47" t="s">
        <v>57</v>
      </c>
    </row>
    <row r="1966" spans="1:47">
      <c r="A1966" s="4" t="s">
        <v>48</v>
      </c>
      <c r="C1966" s="21"/>
      <c r="D1966" s="22" t="s">
        <v>49</v>
      </c>
      <c r="G1966" s="23">
        <v>45075</v>
      </c>
      <c r="H1966" s="24" t="s">
        <v>5802</v>
      </c>
      <c r="J1966" s="28" t="s">
        <v>51</v>
      </c>
      <c r="L1966" s="24" t="s">
        <v>1422</v>
      </c>
      <c r="M1966" s="1" t="str">
        <f>"341221199205284418"</f>
        <v>341221199205284418</v>
      </c>
      <c r="N1966" s="24" t="s">
        <v>1422</v>
      </c>
      <c r="O1966" s="1" t="str">
        <f>"341221199205284418"</f>
        <v>341221199205284418</v>
      </c>
      <c r="P1966" s="23" t="s">
        <v>5803</v>
      </c>
      <c r="Q1966" s="23">
        <v>45232</v>
      </c>
      <c r="R1966" s="32">
        <v>45598</v>
      </c>
      <c r="V1966" s="33">
        <v>50</v>
      </c>
      <c r="W1966" s="28">
        <v>64.29</v>
      </c>
      <c r="X1966" s="34" t="s">
        <v>54</v>
      </c>
      <c r="Y1966" s="33">
        <v>32.15</v>
      </c>
      <c r="AC1966" s="28">
        <v>64.29</v>
      </c>
      <c r="AD1966" s="34" t="s">
        <v>54</v>
      </c>
      <c r="AE1966" s="33">
        <v>32.15</v>
      </c>
      <c r="AN1966" s="7" t="s">
        <v>54</v>
      </c>
      <c r="AO1966" s="7" t="s">
        <v>55</v>
      </c>
      <c r="AP1966" s="7" t="s">
        <v>56</v>
      </c>
      <c r="AT1966" s="47" t="s">
        <v>57</v>
      </c>
      <c r="AU1966" s="47" t="s">
        <v>57</v>
      </c>
    </row>
    <row r="1967" spans="1:47">
      <c r="A1967" s="4" t="s">
        <v>48</v>
      </c>
      <c r="C1967" s="21"/>
      <c r="D1967" s="22" t="s">
        <v>49</v>
      </c>
      <c r="G1967" s="23">
        <v>45073</v>
      </c>
      <c r="H1967" s="24" t="s">
        <v>5804</v>
      </c>
      <c r="J1967" s="28" t="s">
        <v>51</v>
      </c>
      <c r="L1967" s="24" t="s">
        <v>5805</v>
      </c>
      <c r="M1967" s="1" t="str">
        <f>"130929198401220926"</f>
        <v>130929198401220926</v>
      </c>
      <c r="N1967" s="24" t="s">
        <v>5805</v>
      </c>
      <c r="O1967" s="1" t="str">
        <f>"130929198401220926"</f>
        <v>130929198401220926</v>
      </c>
      <c r="P1967" s="23" t="s">
        <v>5806</v>
      </c>
      <c r="Q1967" s="23">
        <v>45074</v>
      </c>
      <c r="R1967" s="32">
        <v>45440</v>
      </c>
      <c r="V1967" s="33">
        <v>50</v>
      </c>
      <c r="W1967" s="28">
        <v>64.29</v>
      </c>
      <c r="X1967" s="34" t="s">
        <v>54</v>
      </c>
      <c r="Y1967" s="33">
        <v>32.15</v>
      </c>
      <c r="AC1967" s="28">
        <v>64.29</v>
      </c>
      <c r="AD1967" s="34" t="s">
        <v>54</v>
      </c>
      <c r="AE1967" s="33">
        <v>32.15</v>
      </c>
      <c r="AN1967" s="7" t="s">
        <v>54</v>
      </c>
      <c r="AO1967" s="7" t="s">
        <v>55</v>
      </c>
      <c r="AP1967" s="7" t="s">
        <v>56</v>
      </c>
      <c r="AT1967" s="47" t="s">
        <v>57</v>
      </c>
      <c r="AU1967" s="47" t="s">
        <v>57</v>
      </c>
    </row>
    <row r="1968" spans="1:47">
      <c r="A1968" s="4" t="s">
        <v>48</v>
      </c>
      <c r="C1968" s="21"/>
      <c r="D1968" s="22" t="s">
        <v>49</v>
      </c>
      <c r="G1968" s="23">
        <v>45075</v>
      </c>
      <c r="H1968" s="24" t="s">
        <v>5807</v>
      </c>
      <c r="J1968" s="28" t="s">
        <v>51</v>
      </c>
      <c r="L1968" s="24" t="s">
        <v>5808</v>
      </c>
      <c r="M1968" s="1" t="str">
        <f>"412702199407011933"</f>
        <v>412702199407011933</v>
      </c>
      <c r="N1968" s="24" t="s">
        <v>5808</v>
      </c>
      <c r="O1968" s="1" t="str">
        <f>"412702199407011933"</f>
        <v>412702199407011933</v>
      </c>
      <c r="P1968" s="23" t="s">
        <v>5809</v>
      </c>
      <c r="Q1968" s="23">
        <v>45076</v>
      </c>
      <c r="R1968" s="32">
        <v>45442</v>
      </c>
      <c r="V1968" s="33">
        <v>50</v>
      </c>
      <c r="W1968" s="28">
        <v>64.29</v>
      </c>
      <c r="X1968" s="34" t="s">
        <v>54</v>
      </c>
      <c r="Y1968" s="33">
        <v>32.15</v>
      </c>
      <c r="AC1968" s="28">
        <v>64.29</v>
      </c>
      <c r="AD1968" s="34" t="s">
        <v>54</v>
      </c>
      <c r="AE1968" s="33">
        <v>32.15</v>
      </c>
      <c r="AN1968" s="7" t="s">
        <v>54</v>
      </c>
      <c r="AO1968" s="7" t="s">
        <v>55</v>
      </c>
      <c r="AP1968" s="7" t="s">
        <v>56</v>
      </c>
      <c r="AT1968" s="47" t="s">
        <v>57</v>
      </c>
      <c r="AU1968" s="47" t="s">
        <v>57</v>
      </c>
    </row>
    <row r="1969" spans="1:47">
      <c r="A1969" s="4" t="s">
        <v>48</v>
      </c>
      <c r="C1969" s="21"/>
      <c r="D1969" s="22" t="s">
        <v>49</v>
      </c>
      <c r="G1969" s="23">
        <v>45091</v>
      </c>
      <c r="H1969" s="24" t="s">
        <v>5810</v>
      </c>
      <c r="J1969" s="28" t="s">
        <v>51</v>
      </c>
      <c r="L1969" s="24" t="s">
        <v>5811</v>
      </c>
      <c r="M1969" s="1" t="str">
        <f>"131082197906150299"</f>
        <v>131082197906150299</v>
      </c>
      <c r="N1969" s="24" t="s">
        <v>5811</v>
      </c>
      <c r="O1969" s="1" t="str">
        <f>"131082197906150299"</f>
        <v>131082197906150299</v>
      </c>
      <c r="P1969" s="23" t="s">
        <v>5812</v>
      </c>
      <c r="Q1969" s="23">
        <v>45291</v>
      </c>
      <c r="R1969" s="32">
        <v>45657</v>
      </c>
      <c r="V1969" s="33">
        <v>100</v>
      </c>
      <c r="W1969" s="28">
        <v>64.29</v>
      </c>
      <c r="X1969" s="34" t="s">
        <v>54</v>
      </c>
      <c r="Y1969" s="33">
        <v>64.29</v>
      </c>
      <c r="AC1969" s="28">
        <v>64.29</v>
      </c>
      <c r="AD1969" s="34" t="s">
        <v>54</v>
      </c>
      <c r="AE1969" s="33">
        <v>64.29</v>
      </c>
      <c r="AN1969" s="7" t="s">
        <v>54</v>
      </c>
      <c r="AO1969" s="7" t="s">
        <v>55</v>
      </c>
      <c r="AP1969" s="7" t="s">
        <v>56</v>
      </c>
      <c r="AT1969" s="47" t="s">
        <v>57</v>
      </c>
      <c r="AU1969" s="47" t="s">
        <v>57</v>
      </c>
    </row>
    <row r="1970" spans="1:47">
      <c r="A1970" s="4" t="s">
        <v>48</v>
      </c>
      <c r="C1970" s="21"/>
      <c r="D1970" s="22" t="s">
        <v>49</v>
      </c>
      <c r="G1970" s="23">
        <v>45091</v>
      </c>
      <c r="H1970" s="24" t="s">
        <v>5813</v>
      </c>
      <c r="J1970" s="28" t="s">
        <v>51</v>
      </c>
      <c r="L1970" s="24" t="s">
        <v>5814</v>
      </c>
      <c r="M1970" s="1" t="str">
        <f>"340322199702057428"</f>
        <v>340322199702057428</v>
      </c>
      <c r="N1970" s="24" t="s">
        <v>5814</v>
      </c>
      <c r="O1970" s="1" t="str">
        <f>"340322199702057428"</f>
        <v>340322199702057428</v>
      </c>
      <c r="P1970" s="23" t="s">
        <v>5815</v>
      </c>
      <c r="Q1970" s="23">
        <v>45092</v>
      </c>
      <c r="R1970" s="32">
        <v>45458</v>
      </c>
      <c r="V1970" s="33">
        <v>100</v>
      </c>
      <c r="W1970" s="28">
        <v>64.29</v>
      </c>
      <c r="X1970" s="34" t="s">
        <v>54</v>
      </c>
      <c r="Y1970" s="33">
        <v>64.29</v>
      </c>
      <c r="AC1970" s="28">
        <v>64.29</v>
      </c>
      <c r="AD1970" s="34" t="s">
        <v>54</v>
      </c>
      <c r="AE1970" s="33">
        <v>64.29</v>
      </c>
      <c r="AN1970" s="7" t="s">
        <v>54</v>
      </c>
      <c r="AO1970" s="7" t="s">
        <v>55</v>
      </c>
      <c r="AP1970" s="7" t="s">
        <v>56</v>
      </c>
      <c r="AT1970" s="47" t="s">
        <v>57</v>
      </c>
      <c r="AU1970" s="47" t="s">
        <v>57</v>
      </c>
    </row>
    <row r="1971" spans="1:47">
      <c r="A1971" s="4" t="s">
        <v>48</v>
      </c>
      <c r="C1971" s="21"/>
      <c r="D1971" s="22" t="s">
        <v>49</v>
      </c>
      <c r="G1971" s="23">
        <v>45092</v>
      </c>
      <c r="H1971" s="24" t="s">
        <v>5816</v>
      </c>
      <c r="J1971" s="28" t="s">
        <v>51</v>
      </c>
      <c r="L1971" s="24" t="s">
        <v>5817</v>
      </c>
      <c r="M1971" s="1" t="str">
        <f>"342128198006103827"</f>
        <v>342128198006103827</v>
      </c>
      <c r="N1971" s="24" t="s">
        <v>5817</v>
      </c>
      <c r="O1971" s="1" t="str">
        <f>"342128198006103827"</f>
        <v>342128198006103827</v>
      </c>
      <c r="P1971" s="23" t="s">
        <v>5818</v>
      </c>
      <c r="Q1971" s="23">
        <v>45209</v>
      </c>
      <c r="R1971" s="32">
        <v>45575</v>
      </c>
      <c r="V1971" s="33">
        <v>100</v>
      </c>
      <c r="W1971" s="28">
        <v>64.29</v>
      </c>
      <c r="X1971" s="34" t="s">
        <v>54</v>
      </c>
      <c r="Y1971" s="33">
        <v>64.29</v>
      </c>
      <c r="AC1971" s="28">
        <v>64.29</v>
      </c>
      <c r="AD1971" s="34" t="s">
        <v>54</v>
      </c>
      <c r="AE1971" s="33">
        <v>64.29</v>
      </c>
      <c r="AN1971" s="7" t="s">
        <v>54</v>
      </c>
      <c r="AO1971" s="7" t="s">
        <v>55</v>
      </c>
      <c r="AP1971" s="7" t="s">
        <v>56</v>
      </c>
      <c r="AT1971" s="47" t="s">
        <v>57</v>
      </c>
      <c r="AU1971" s="47" t="s">
        <v>57</v>
      </c>
    </row>
    <row r="1972" spans="1:47">
      <c r="A1972" s="4" t="s">
        <v>48</v>
      </c>
      <c r="C1972" s="21"/>
      <c r="D1972" s="22" t="s">
        <v>49</v>
      </c>
      <c r="G1972" s="23">
        <v>45092</v>
      </c>
      <c r="H1972" s="24" t="s">
        <v>5819</v>
      </c>
      <c r="J1972" s="28" t="s">
        <v>51</v>
      </c>
      <c r="L1972" s="24" t="s">
        <v>5820</v>
      </c>
      <c r="M1972" s="1" t="str">
        <f>"341282199108270244"</f>
        <v>341282199108270244</v>
      </c>
      <c r="N1972" s="24" t="s">
        <v>5820</v>
      </c>
      <c r="O1972" s="1" t="str">
        <f>"341282199108270244"</f>
        <v>341282199108270244</v>
      </c>
      <c r="P1972" s="23" t="s">
        <v>5821</v>
      </c>
      <c r="Q1972" s="23">
        <v>45215</v>
      </c>
      <c r="R1972" s="32">
        <v>45581</v>
      </c>
      <c r="V1972" s="33">
        <v>100</v>
      </c>
      <c r="W1972" s="28">
        <v>64.29</v>
      </c>
      <c r="X1972" s="34" t="s">
        <v>54</v>
      </c>
      <c r="Y1972" s="33">
        <v>64.29</v>
      </c>
      <c r="AC1972" s="28">
        <v>64.29</v>
      </c>
      <c r="AD1972" s="34" t="s">
        <v>54</v>
      </c>
      <c r="AE1972" s="33">
        <v>64.29</v>
      </c>
      <c r="AN1972" s="7" t="s">
        <v>54</v>
      </c>
      <c r="AO1972" s="7" t="s">
        <v>55</v>
      </c>
      <c r="AP1972" s="7" t="s">
        <v>56</v>
      </c>
      <c r="AT1972" s="47" t="s">
        <v>57</v>
      </c>
      <c r="AU1972" s="47" t="s">
        <v>57</v>
      </c>
    </row>
    <row r="1973" spans="1:47">
      <c r="A1973" s="4" t="s">
        <v>48</v>
      </c>
      <c r="C1973" s="21"/>
      <c r="D1973" s="22" t="s">
        <v>49</v>
      </c>
      <c r="G1973" s="23">
        <v>45092</v>
      </c>
      <c r="H1973" s="24" t="s">
        <v>5822</v>
      </c>
      <c r="J1973" s="28" t="s">
        <v>51</v>
      </c>
      <c r="L1973" s="24" t="s">
        <v>5823</v>
      </c>
      <c r="M1973" s="1" t="str">
        <f>"34122119971017042X"</f>
        <v>34122119971017042X</v>
      </c>
      <c r="N1973" s="24" t="s">
        <v>5823</v>
      </c>
      <c r="O1973" s="1" t="str">
        <f>"34122119971017042X"</f>
        <v>34122119971017042X</v>
      </c>
      <c r="P1973" s="23" t="s">
        <v>5824</v>
      </c>
      <c r="Q1973" s="23">
        <v>45093</v>
      </c>
      <c r="R1973" s="32">
        <v>45459</v>
      </c>
      <c r="V1973" s="33">
        <v>100</v>
      </c>
      <c r="W1973" s="28">
        <v>64.29</v>
      </c>
      <c r="X1973" s="34" t="s">
        <v>54</v>
      </c>
      <c r="Y1973" s="33">
        <v>64.29</v>
      </c>
      <c r="AC1973" s="28">
        <v>64.29</v>
      </c>
      <c r="AD1973" s="34" t="s">
        <v>54</v>
      </c>
      <c r="AE1973" s="33">
        <v>64.29</v>
      </c>
      <c r="AN1973" s="7" t="s">
        <v>54</v>
      </c>
      <c r="AO1973" s="7" t="s">
        <v>55</v>
      </c>
      <c r="AP1973" s="7" t="s">
        <v>56</v>
      </c>
      <c r="AT1973" s="47" t="s">
        <v>57</v>
      </c>
      <c r="AU1973" s="47" t="s">
        <v>57</v>
      </c>
    </row>
    <row r="1974" spans="1:47">
      <c r="A1974" s="4" t="s">
        <v>48</v>
      </c>
      <c r="C1974" s="21"/>
      <c r="D1974" s="22" t="s">
        <v>49</v>
      </c>
      <c r="G1974" s="23">
        <v>45079</v>
      </c>
      <c r="H1974" s="24" t="s">
        <v>5825</v>
      </c>
      <c r="J1974" s="28" t="s">
        <v>51</v>
      </c>
      <c r="L1974" s="24" t="s">
        <v>5826</v>
      </c>
      <c r="M1974" s="1" t="str">
        <f>"341204198510251822"</f>
        <v>341204198510251822</v>
      </c>
      <c r="N1974" s="24" t="s">
        <v>5826</v>
      </c>
      <c r="O1974" s="1" t="str">
        <f>"341204198510251822"</f>
        <v>341204198510251822</v>
      </c>
      <c r="P1974" s="23" t="s">
        <v>5827</v>
      </c>
      <c r="Q1974" s="23">
        <v>45080</v>
      </c>
      <c r="R1974" s="32">
        <v>45446</v>
      </c>
      <c r="V1974" s="33">
        <v>100</v>
      </c>
      <c r="W1974" s="28">
        <v>64.29</v>
      </c>
      <c r="X1974" s="34" t="s">
        <v>54</v>
      </c>
      <c r="Y1974" s="33">
        <v>64.29</v>
      </c>
      <c r="AC1974" s="28">
        <v>64.29</v>
      </c>
      <c r="AD1974" s="34" t="s">
        <v>54</v>
      </c>
      <c r="AE1974" s="33">
        <v>64.29</v>
      </c>
      <c r="AN1974" s="7" t="s">
        <v>54</v>
      </c>
      <c r="AO1974" s="7" t="s">
        <v>55</v>
      </c>
      <c r="AP1974" s="7" t="s">
        <v>56</v>
      </c>
      <c r="AT1974" s="47" t="s">
        <v>57</v>
      </c>
      <c r="AU1974" s="47" t="s">
        <v>57</v>
      </c>
    </row>
    <row r="1975" spans="1:47">
      <c r="A1975" s="4" t="s">
        <v>48</v>
      </c>
      <c r="C1975" s="21"/>
      <c r="D1975" s="22" t="s">
        <v>49</v>
      </c>
      <c r="G1975" s="23">
        <v>45079</v>
      </c>
      <c r="H1975" s="24" t="s">
        <v>5828</v>
      </c>
      <c r="J1975" s="28" t="s">
        <v>51</v>
      </c>
      <c r="L1975" s="24" t="s">
        <v>5829</v>
      </c>
      <c r="M1975" s="1" t="str">
        <f>"341282197103206826"</f>
        <v>341282197103206826</v>
      </c>
      <c r="N1975" s="24" t="s">
        <v>5829</v>
      </c>
      <c r="O1975" s="1" t="str">
        <f>"341282197103206826"</f>
        <v>341282197103206826</v>
      </c>
      <c r="P1975" s="23" t="s">
        <v>5830</v>
      </c>
      <c r="Q1975" s="23">
        <v>45080</v>
      </c>
      <c r="R1975" s="32">
        <v>45446</v>
      </c>
      <c r="V1975" s="33">
        <v>100</v>
      </c>
      <c r="W1975" s="28">
        <v>64.29</v>
      </c>
      <c r="X1975" s="34" t="s">
        <v>54</v>
      </c>
      <c r="Y1975" s="33">
        <v>64.29</v>
      </c>
      <c r="AC1975" s="28">
        <v>64.29</v>
      </c>
      <c r="AD1975" s="34" t="s">
        <v>54</v>
      </c>
      <c r="AE1975" s="33">
        <v>64.29</v>
      </c>
      <c r="AN1975" s="7" t="s">
        <v>54</v>
      </c>
      <c r="AO1975" s="7" t="s">
        <v>55</v>
      </c>
      <c r="AP1975" s="7" t="s">
        <v>56</v>
      </c>
      <c r="AT1975" s="47" t="s">
        <v>57</v>
      </c>
      <c r="AU1975" s="47" t="s">
        <v>57</v>
      </c>
    </row>
    <row r="1976" spans="1:47">
      <c r="A1976" s="4" t="s">
        <v>48</v>
      </c>
      <c r="C1976" s="21"/>
      <c r="D1976" s="22" t="s">
        <v>49</v>
      </c>
      <c r="G1976" s="23">
        <v>45090</v>
      </c>
      <c r="H1976" s="24" t="s">
        <v>5831</v>
      </c>
      <c r="J1976" s="28" t="s">
        <v>51</v>
      </c>
      <c r="L1976" s="24" t="s">
        <v>5832</v>
      </c>
      <c r="M1976" s="1" t="str">
        <f>"342122196901158819"</f>
        <v>342122196901158819</v>
      </c>
      <c r="N1976" s="24" t="s">
        <v>5832</v>
      </c>
      <c r="O1976" s="1" t="str">
        <f>"342122196901158819"</f>
        <v>342122196901158819</v>
      </c>
      <c r="P1976" s="23" t="s">
        <v>5833</v>
      </c>
      <c r="Q1976" s="23">
        <v>45200</v>
      </c>
      <c r="R1976" s="32">
        <v>45566</v>
      </c>
      <c r="V1976" s="33">
        <v>200</v>
      </c>
      <c r="W1976" s="28">
        <v>64.29</v>
      </c>
      <c r="X1976" s="34" t="s">
        <v>54</v>
      </c>
      <c r="Y1976" s="33">
        <v>128.58</v>
      </c>
      <c r="AC1976" s="28">
        <v>64.29</v>
      </c>
      <c r="AD1976" s="34" t="s">
        <v>54</v>
      </c>
      <c r="AE1976" s="33">
        <v>128.58</v>
      </c>
      <c r="AN1976" s="7" t="s">
        <v>54</v>
      </c>
      <c r="AO1976" s="7" t="s">
        <v>55</v>
      </c>
      <c r="AP1976" s="7" t="s">
        <v>56</v>
      </c>
      <c r="AT1976" s="47" t="s">
        <v>57</v>
      </c>
      <c r="AU1976" s="47" t="s">
        <v>57</v>
      </c>
    </row>
    <row r="1977" spans="1:47">
      <c r="A1977" s="4" t="s">
        <v>48</v>
      </c>
      <c r="C1977" s="21"/>
      <c r="D1977" s="22" t="s">
        <v>49</v>
      </c>
      <c r="G1977" s="23">
        <v>45090</v>
      </c>
      <c r="H1977" s="24" t="s">
        <v>5834</v>
      </c>
      <c r="J1977" s="28" t="s">
        <v>51</v>
      </c>
      <c r="L1977" s="24" t="s">
        <v>3690</v>
      </c>
      <c r="M1977" s="1" t="str">
        <f>"341221199310010443"</f>
        <v>341221199310010443</v>
      </c>
      <c r="N1977" s="24" t="s">
        <v>3690</v>
      </c>
      <c r="O1977" s="1" t="str">
        <f>"341221199310010443"</f>
        <v>341221199310010443</v>
      </c>
      <c r="P1977" s="23" t="s">
        <v>5835</v>
      </c>
      <c r="Q1977" s="23">
        <v>45091</v>
      </c>
      <c r="R1977" s="32">
        <v>45457</v>
      </c>
      <c r="V1977" s="33">
        <v>200</v>
      </c>
      <c r="W1977" s="28">
        <v>64.29</v>
      </c>
      <c r="X1977" s="34" t="s">
        <v>54</v>
      </c>
      <c r="Y1977" s="33">
        <v>128.58</v>
      </c>
      <c r="AC1977" s="28">
        <v>64.29</v>
      </c>
      <c r="AD1977" s="34" t="s">
        <v>54</v>
      </c>
      <c r="AE1977" s="33">
        <v>128.58</v>
      </c>
      <c r="AN1977" s="7" t="s">
        <v>54</v>
      </c>
      <c r="AO1977" s="7" t="s">
        <v>55</v>
      </c>
      <c r="AP1977" s="7" t="s">
        <v>56</v>
      </c>
      <c r="AT1977" s="47" t="s">
        <v>57</v>
      </c>
      <c r="AU1977" s="47" t="s">
        <v>57</v>
      </c>
    </row>
    <row r="1978" spans="1:47">
      <c r="A1978" s="4" t="s">
        <v>48</v>
      </c>
      <c r="C1978" s="21"/>
      <c r="D1978" s="22" t="s">
        <v>49</v>
      </c>
      <c r="G1978" s="23">
        <v>45089</v>
      </c>
      <c r="H1978" s="24" t="s">
        <v>5836</v>
      </c>
      <c r="J1978" s="28" t="s">
        <v>51</v>
      </c>
      <c r="L1978" s="24" t="s">
        <v>5837</v>
      </c>
      <c r="M1978" s="1" t="str">
        <f>"341204198401161035"</f>
        <v>341204198401161035</v>
      </c>
      <c r="N1978" s="24" t="s">
        <v>5837</v>
      </c>
      <c r="O1978" s="1" t="str">
        <f>"341204198401161035"</f>
        <v>341204198401161035</v>
      </c>
      <c r="P1978" s="23" t="s">
        <v>5838</v>
      </c>
      <c r="Q1978" s="23">
        <v>45090</v>
      </c>
      <c r="R1978" s="32">
        <v>45456</v>
      </c>
      <c r="V1978" s="33">
        <v>200</v>
      </c>
      <c r="W1978" s="28">
        <v>64.29</v>
      </c>
      <c r="X1978" s="34" t="s">
        <v>54</v>
      </c>
      <c r="Y1978" s="33">
        <v>128.58</v>
      </c>
      <c r="AC1978" s="28">
        <v>64.29</v>
      </c>
      <c r="AD1978" s="34" t="s">
        <v>54</v>
      </c>
      <c r="AE1978" s="33">
        <v>128.58</v>
      </c>
      <c r="AN1978" s="7" t="s">
        <v>54</v>
      </c>
      <c r="AO1978" s="7" t="s">
        <v>55</v>
      </c>
      <c r="AP1978" s="7" t="s">
        <v>56</v>
      </c>
      <c r="AT1978" s="47" t="s">
        <v>57</v>
      </c>
      <c r="AU1978" s="47" t="s">
        <v>57</v>
      </c>
    </row>
    <row r="1979" spans="1:47">
      <c r="A1979" s="4" t="s">
        <v>48</v>
      </c>
      <c r="C1979" s="21"/>
      <c r="D1979" s="22" t="s">
        <v>49</v>
      </c>
      <c r="G1979" s="23">
        <v>45087</v>
      </c>
      <c r="H1979" s="24" t="s">
        <v>5839</v>
      </c>
      <c r="J1979" s="28" t="s">
        <v>51</v>
      </c>
      <c r="L1979" s="24" t="s">
        <v>5840</v>
      </c>
      <c r="M1979" s="1" t="str">
        <f>"34212219681001879X"</f>
        <v>34212219681001879X</v>
      </c>
      <c r="N1979" s="24" t="s">
        <v>5840</v>
      </c>
      <c r="O1979" s="1" t="str">
        <f>"34212219681001879X"</f>
        <v>34212219681001879X</v>
      </c>
      <c r="P1979" s="23" t="s">
        <v>5841</v>
      </c>
      <c r="Q1979" s="23">
        <v>45088</v>
      </c>
      <c r="R1979" s="32">
        <v>45454</v>
      </c>
      <c r="V1979" s="33">
        <v>200</v>
      </c>
      <c r="W1979" s="28">
        <v>64.29</v>
      </c>
      <c r="X1979" s="34" t="s">
        <v>54</v>
      </c>
      <c r="Y1979" s="33">
        <v>128.58</v>
      </c>
      <c r="AC1979" s="28">
        <v>64.29</v>
      </c>
      <c r="AD1979" s="34" t="s">
        <v>54</v>
      </c>
      <c r="AE1979" s="33">
        <v>128.58</v>
      </c>
      <c r="AN1979" s="7" t="s">
        <v>54</v>
      </c>
      <c r="AO1979" s="7" t="s">
        <v>55</v>
      </c>
      <c r="AP1979" s="7" t="s">
        <v>56</v>
      </c>
      <c r="AT1979" s="47" t="s">
        <v>57</v>
      </c>
      <c r="AU1979" s="47" t="s">
        <v>57</v>
      </c>
    </row>
    <row r="1980" spans="1:47">
      <c r="A1980" s="4" t="s">
        <v>48</v>
      </c>
      <c r="C1980" s="21"/>
      <c r="D1980" s="22" t="s">
        <v>49</v>
      </c>
      <c r="G1980" s="23">
        <v>45087</v>
      </c>
      <c r="H1980" s="24" t="s">
        <v>5842</v>
      </c>
      <c r="J1980" s="28" t="s">
        <v>51</v>
      </c>
      <c r="L1980" s="24" t="s">
        <v>5843</v>
      </c>
      <c r="M1980" s="1" t="str">
        <f>"110105195308015416"</f>
        <v>110105195308015416</v>
      </c>
      <c r="N1980" s="24" t="s">
        <v>5843</v>
      </c>
      <c r="O1980" s="1" t="str">
        <f>"110105195308015416"</f>
        <v>110105195308015416</v>
      </c>
      <c r="P1980" s="23" t="s">
        <v>5844</v>
      </c>
      <c r="Q1980" s="23">
        <v>45088</v>
      </c>
      <c r="R1980" s="32">
        <v>45454</v>
      </c>
      <c r="V1980" s="33">
        <v>200</v>
      </c>
      <c r="W1980" s="28">
        <v>64.29</v>
      </c>
      <c r="X1980" s="34" t="s">
        <v>54</v>
      </c>
      <c r="Y1980" s="33">
        <v>128.58</v>
      </c>
      <c r="AC1980" s="28">
        <v>64.29</v>
      </c>
      <c r="AD1980" s="34" t="s">
        <v>54</v>
      </c>
      <c r="AE1980" s="33">
        <v>128.58</v>
      </c>
      <c r="AN1980" s="7" t="s">
        <v>54</v>
      </c>
      <c r="AO1980" s="7" t="s">
        <v>55</v>
      </c>
      <c r="AP1980" s="7" t="s">
        <v>56</v>
      </c>
      <c r="AT1980" s="47" t="s">
        <v>57</v>
      </c>
      <c r="AU1980" s="47" t="s">
        <v>57</v>
      </c>
    </row>
    <row r="1981" spans="1:47">
      <c r="A1981" s="4" t="s">
        <v>48</v>
      </c>
      <c r="C1981" s="21"/>
      <c r="D1981" s="22" t="s">
        <v>49</v>
      </c>
      <c r="G1981" s="23">
        <v>45087</v>
      </c>
      <c r="H1981" s="24" t="s">
        <v>5845</v>
      </c>
      <c r="J1981" s="28" t="s">
        <v>51</v>
      </c>
      <c r="L1981" s="24" t="s">
        <v>201</v>
      </c>
      <c r="M1981" s="1" t="str">
        <f>"132235197203146813"</f>
        <v>132235197203146813</v>
      </c>
      <c r="N1981" s="24" t="s">
        <v>201</v>
      </c>
      <c r="O1981" s="1" t="str">
        <f>"132235197203146813"</f>
        <v>132235197203146813</v>
      </c>
      <c r="P1981" s="23" t="s">
        <v>5846</v>
      </c>
      <c r="Q1981" s="23">
        <v>45088</v>
      </c>
      <c r="R1981" s="32">
        <v>45454</v>
      </c>
      <c r="V1981" s="33">
        <v>200</v>
      </c>
      <c r="W1981" s="28">
        <v>64.29</v>
      </c>
      <c r="X1981" s="34" t="s">
        <v>54</v>
      </c>
      <c r="Y1981" s="33">
        <v>128.58</v>
      </c>
      <c r="AC1981" s="28">
        <v>64.29</v>
      </c>
      <c r="AD1981" s="34" t="s">
        <v>54</v>
      </c>
      <c r="AE1981" s="33">
        <v>128.58</v>
      </c>
      <c r="AN1981" s="7" t="s">
        <v>54</v>
      </c>
      <c r="AO1981" s="7" t="s">
        <v>55</v>
      </c>
      <c r="AP1981" s="7" t="s">
        <v>56</v>
      </c>
      <c r="AT1981" s="47" t="s">
        <v>57</v>
      </c>
      <c r="AU1981" s="47" t="s">
        <v>57</v>
      </c>
    </row>
    <row r="1982" spans="1:47">
      <c r="A1982" s="4" t="s">
        <v>48</v>
      </c>
      <c r="C1982" s="21"/>
      <c r="D1982" s="22" t="s">
        <v>49</v>
      </c>
      <c r="G1982" s="23">
        <v>45087</v>
      </c>
      <c r="H1982" s="24" t="s">
        <v>5847</v>
      </c>
      <c r="J1982" s="28" t="s">
        <v>51</v>
      </c>
      <c r="L1982" s="24" t="s">
        <v>5848</v>
      </c>
      <c r="M1982" s="1" t="str">
        <f>"91131082MA0GF9RBXG"</f>
        <v>91131082MA0GF9RBXG</v>
      </c>
      <c r="N1982" s="24" t="s">
        <v>5848</v>
      </c>
      <c r="O1982" s="1" t="str">
        <f>"91131082MA0GF9RBXG"</f>
        <v>91131082MA0GF9RBXG</v>
      </c>
      <c r="P1982" s="23" t="s">
        <v>5849</v>
      </c>
      <c r="Q1982" s="23">
        <v>45088</v>
      </c>
      <c r="R1982" s="32">
        <v>45454</v>
      </c>
      <c r="V1982" s="33">
        <v>200</v>
      </c>
      <c r="W1982" s="28">
        <v>64.29</v>
      </c>
      <c r="X1982" s="34" t="s">
        <v>54</v>
      </c>
      <c r="Y1982" s="33">
        <v>128.58</v>
      </c>
      <c r="AC1982" s="28">
        <v>64.29</v>
      </c>
      <c r="AD1982" s="34" t="s">
        <v>54</v>
      </c>
      <c r="AE1982" s="33">
        <v>128.58</v>
      </c>
      <c r="AN1982" s="7" t="s">
        <v>54</v>
      </c>
      <c r="AO1982" s="7" t="s">
        <v>55</v>
      </c>
      <c r="AP1982" s="7" t="s">
        <v>56</v>
      </c>
      <c r="AT1982" s="47" t="s">
        <v>57</v>
      </c>
      <c r="AU1982" s="47" t="s">
        <v>57</v>
      </c>
    </row>
    <row r="1983" spans="1:47">
      <c r="A1983" s="4" t="s">
        <v>48</v>
      </c>
      <c r="C1983" s="21"/>
      <c r="D1983" s="22" t="s">
        <v>49</v>
      </c>
      <c r="G1983" s="23">
        <v>45072</v>
      </c>
      <c r="H1983" s="24" t="s">
        <v>5850</v>
      </c>
      <c r="J1983" s="28" t="s">
        <v>51</v>
      </c>
      <c r="L1983" s="24" t="s">
        <v>5851</v>
      </c>
      <c r="M1983" s="1" t="str">
        <f>"230381198711076049"</f>
        <v>230381198711076049</v>
      </c>
      <c r="N1983" s="24" t="s">
        <v>5851</v>
      </c>
      <c r="O1983" s="1" t="str">
        <f>"230381198711076049"</f>
        <v>230381198711076049</v>
      </c>
      <c r="P1983" s="23" t="s">
        <v>5852</v>
      </c>
      <c r="Q1983" s="23">
        <v>45073</v>
      </c>
      <c r="R1983" s="32">
        <v>45439</v>
      </c>
      <c r="V1983" s="33">
        <v>50</v>
      </c>
      <c r="W1983" s="28">
        <v>64.29</v>
      </c>
      <c r="X1983" s="34" t="s">
        <v>54</v>
      </c>
      <c r="Y1983" s="33">
        <v>32.15</v>
      </c>
      <c r="AC1983" s="28">
        <v>64.29</v>
      </c>
      <c r="AD1983" s="34" t="s">
        <v>54</v>
      </c>
      <c r="AE1983" s="33">
        <v>32.15</v>
      </c>
      <c r="AN1983" s="7" t="s">
        <v>54</v>
      </c>
      <c r="AO1983" s="7" t="s">
        <v>55</v>
      </c>
      <c r="AP1983" s="7" t="s">
        <v>56</v>
      </c>
      <c r="AT1983" s="47" t="s">
        <v>57</v>
      </c>
      <c r="AU1983" s="47" t="s">
        <v>57</v>
      </c>
    </row>
    <row r="1984" spans="1:47">
      <c r="A1984" s="4" t="s">
        <v>48</v>
      </c>
      <c r="C1984" s="21"/>
      <c r="D1984" s="22" t="s">
        <v>49</v>
      </c>
      <c r="G1984" s="23">
        <v>45102</v>
      </c>
      <c r="H1984" s="24" t="s">
        <v>5853</v>
      </c>
      <c r="J1984" s="28" t="s">
        <v>51</v>
      </c>
      <c r="L1984" s="24" t="s">
        <v>5854</v>
      </c>
      <c r="M1984" s="1" t="str">
        <f>"341221199412300417"</f>
        <v>341221199412300417</v>
      </c>
      <c r="N1984" s="24" t="s">
        <v>5854</v>
      </c>
      <c r="O1984" s="1" t="str">
        <f>"341221199412300417"</f>
        <v>341221199412300417</v>
      </c>
      <c r="P1984" s="23" t="s">
        <v>5855</v>
      </c>
      <c r="Q1984" s="23">
        <v>45103</v>
      </c>
      <c r="R1984" s="32">
        <v>45469</v>
      </c>
      <c r="V1984" s="33">
        <v>100</v>
      </c>
      <c r="W1984" s="28">
        <v>64.29</v>
      </c>
      <c r="X1984" s="34" t="s">
        <v>54</v>
      </c>
      <c r="Y1984" s="33">
        <v>64.29</v>
      </c>
      <c r="AC1984" s="28">
        <v>64.29</v>
      </c>
      <c r="AD1984" s="34" t="s">
        <v>54</v>
      </c>
      <c r="AE1984" s="33">
        <v>64.29</v>
      </c>
      <c r="AN1984" s="7" t="s">
        <v>54</v>
      </c>
      <c r="AO1984" s="7" t="s">
        <v>55</v>
      </c>
      <c r="AP1984" s="7" t="s">
        <v>56</v>
      </c>
      <c r="AT1984" s="47" t="s">
        <v>57</v>
      </c>
      <c r="AU1984" s="47" t="s">
        <v>57</v>
      </c>
    </row>
    <row r="1985" spans="1:47">
      <c r="A1985" s="4" t="s">
        <v>48</v>
      </c>
      <c r="C1985" s="21"/>
      <c r="D1985" s="22" t="s">
        <v>49</v>
      </c>
      <c r="G1985" s="23">
        <v>45102</v>
      </c>
      <c r="H1985" s="24" t="s">
        <v>5856</v>
      </c>
      <c r="J1985" s="28" t="s">
        <v>51</v>
      </c>
      <c r="L1985" s="24" t="s">
        <v>5857</v>
      </c>
      <c r="M1985" s="1" t="str">
        <f>"342101197703068049"</f>
        <v>342101197703068049</v>
      </c>
      <c r="N1985" s="24" t="s">
        <v>5857</v>
      </c>
      <c r="O1985" s="1" t="str">
        <f>"342101197703068049"</f>
        <v>342101197703068049</v>
      </c>
      <c r="P1985" s="23" t="s">
        <v>5858</v>
      </c>
      <c r="Q1985" s="23">
        <v>45103</v>
      </c>
      <c r="R1985" s="32">
        <v>45469</v>
      </c>
      <c r="V1985" s="33">
        <v>100</v>
      </c>
      <c r="W1985" s="28">
        <v>64.29</v>
      </c>
      <c r="X1985" s="34" t="s">
        <v>54</v>
      </c>
      <c r="Y1985" s="33">
        <v>64.29</v>
      </c>
      <c r="AC1985" s="28">
        <v>64.29</v>
      </c>
      <c r="AD1985" s="34" t="s">
        <v>54</v>
      </c>
      <c r="AE1985" s="33">
        <v>64.29</v>
      </c>
      <c r="AN1985" s="7" t="s">
        <v>54</v>
      </c>
      <c r="AO1985" s="7" t="s">
        <v>55</v>
      </c>
      <c r="AP1985" s="7" t="s">
        <v>56</v>
      </c>
      <c r="AT1985" s="47" t="s">
        <v>57</v>
      </c>
      <c r="AU1985" s="47" t="s">
        <v>57</v>
      </c>
    </row>
    <row r="1986" spans="1:47">
      <c r="A1986" s="4" t="s">
        <v>48</v>
      </c>
      <c r="C1986" s="21"/>
      <c r="D1986" s="22" t="s">
        <v>49</v>
      </c>
      <c r="G1986" s="23">
        <v>45092</v>
      </c>
      <c r="H1986" s="24" t="s">
        <v>5859</v>
      </c>
      <c r="J1986" s="28" t="s">
        <v>51</v>
      </c>
      <c r="L1986" s="24" t="s">
        <v>5860</v>
      </c>
      <c r="M1986" s="1" t="str">
        <f>"132823196304166322"</f>
        <v>132823196304166322</v>
      </c>
      <c r="N1986" s="24" t="s">
        <v>5860</v>
      </c>
      <c r="O1986" s="1" t="str">
        <f>"132823196304166322"</f>
        <v>132823196304166322</v>
      </c>
      <c r="P1986" s="23" t="s">
        <v>5861</v>
      </c>
      <c r="Q1986" s="23">
        <v>45093</v>
      </c>
      <c r="R1986" s="32">
        <v>45459</v>
      </c>
      <c r="V1986" s="33">
        <v>100</v>
      </c>
      <c r="W1986" s="28">
        <v>64.29</v>
      </c>
      <c r="X1986" s="34" t="s">
        <v>54</v>
      </c>
      <c r="Y1986" s="33">
        <v>64.29</v>
      </c>
      <c r="AC1986" s="28">
        <v>64.29</v>
      </c>
      <c r="AD1986" s="34" t="s">
        <v>54</v>
      </c>
      <c r="AE1986" s="33">
        <v>64.29</v>
      </c>
      <c r="AN1986" s="7" t="s">
        <v>54</v>
      </c>
      <c r="AO1986" s="7" t="s">
        <v>55</v>
      </c>
      <c r="AP1986" s="7" t="s">
        <v>56</v>
      </c>
      <c r="AT1986" s="47" t="s">
        <v>57</v>
      </c>
      <c r="AU1986" s="47" t="s">
        <v>57</v>
      </c>
    </row>
    <row r="1987" spans="1:47">
      <c r="A1987" s="4" t="s">
        <v>48</v>
      </c>
      <c r="C1987" s="21"/>
      <c r="D1987" s="22" t="s">
        <v>49</v>
      </c>
      <c r="G1987" s="23">
        <v>45092</v>
      </c>
      <c r="H1987" s="24" t="s">
        <v>5862</v>
      </c>
      <c r="J1987" s="28" t="s">
        <v>51</v>
      </c>
      <c r="L1987" s="24" t="s">
        <v>5863</v>
      </c>
      <c r="M1987" s="1" t="str">
        <f>"131024196603010012"</f>
        <v>131024196603010012</v>
      </c>
      <c r="N1987" s="24" t="s">
        <v>5863</v>
      </c>
      <c r="O1987" s="1" t="str">
        <f>"131024196603010012"</f>
        <v>131024196603010012</v>
      </c>
      <c r="P1987" s="23" t="s">
        <v>5864</v>
      </c>
      <c r="Q1987" s="23">
        <v>45185</v>
      </c>
      <c r="R1987" s="32">
        <v>45551</v>
      </c>
      <c r="V1987" s="33">
        <v>100</v>
      </c>
      <c r="W1987" s="28">
        <v>64.29</v>
      </c>
      <c r="X1987" s="34" t="s">
        <v>54</v>
      </c>
      <c r="Y1987" s="33">
        <v>64.29</v>
      </c>
      <c r="AC1987" s="28">
        <v>64.29</v>
      </c>
      <c r="AD1987" s="34" t="s">
        <v>54</v>
      </c>
      <c r="AE1987" s="33">
        <v>64.29</v>
      </c>
      <c r="AN1987" s="7" t="s">
        <v>54</v>
      </c>
      <c r="AO1987" s="7" t="s">
        <v>55</v>
      </c>
      <c r="AP1987" s="7" t="s">
        <v>56</v>
      </c>
      <c r="AT1987" s="47" t="s">
        <v>57</v>
      </c>
      <c r="AU1987" s="47" t="s">
        <v>57</v>
      </c>
    </row>
    <row r="1988" spans="1:47">
      <c r="A1988" s="4" t="s">
        <v>48</v>
      </c>
      <c r="C1988" s="21"/>
      <c r="D1988" s="22" t="s">
        <v>49</v>
      </c>
      <c r="G1988" s="23">
        <v>45082</v>
      </c>
      <c r="H1988" s="24" t="s">
        <v>5865</v>
      </c>
      <c r="J1988" s="28" t="s">
        <v>51</v>
      </c>
      <c r="L1988" s="24" t="s">
        <v>5866</v>
      </c>
      <c r="M1988" s="1" t="str">
        <f>"120222197410060013"</f>
        <v>120222197410060013</v>
      </c>
      <c r="N1988" s="24" t="s">
        <v>5866</v>
      </c>
      <c r="O1988" s="1" t="str">
        <f>"120222197410060013"</f>
        <v>120222197410060013</v>
      </c>
      <c r="P1988" s="23" t="s">
        <v>5867</v>
      </c>
      <c r="Q1988" s="23">
        <v>45175</v>
      </c>
      <c r="R1988" s="32">
        <v>45541</v>
      </c>
      <c r="V1988" s="33">
        <v>100</v>
      </c>
      <c r="W1988" s="28">
        <v>64.29</v>
      </c>
      <c r="X1988" s="34" t="s">
        <v>54</v>
      </c>
      <c r="Y1988" s="33">
        <v>64.29</v>
      </c>
      <c r="AC1988" s="28">
        <v>64.29</v>
      </c>
      <c r="AD1988" s="34" t="s">
        <v>54</v>
      </c>
      <c r="AE1988" s="33">
        <v>64.29</v>
      </c>
      <c r="AN1988" s="7" t="s">
        <v>54</v>
      </c>
      <c r="AO1988" s="7" t="s">
        <v>55</v>
      </c>
      <c r="AP1988" s="7" t="s">
        <v>56</v>
      </c>
      <c r="AT1988" s="47" t="s">
        <v>57</v>
      </c>
      <c r="AU1988" s="47" t="s">
        <v>57</v>
      </c>
    </row>
    <row r="1989" spans="1:47">
      <c r="A1989" s="4" t="s">
        <v>48</v>
      </c>
      <c r="C1989" s="21"/>
      <c r="D1989" s="22" t="s">
        <v>49</v>
      </c>
      <c r="G1989" s="23">
        <v>45079</v>
      </c>
      <c r="H1989" s="24" t="s">
        <v>5868</v>
      </c>
      <c r="J1989" s="28" t="s">
        <v>51</v>
      </c>
      <c r="L1989" s="24" t="s">
        <v>5869</v>
      </c>
      <c r="M1989" s="1" t="str">
        <f>"131082196704300354"</f>
        <v>131082196704300354</v>
      </c>
      <c r="N1989" s="24" t="s">
        <v>5869</v>
      </c>
      <c r="O1989" s="1" t="str">
        <f>"131082196704300354"</f>
        <v>131082196704300354</v>
      </c>
      <c r="P1989" s="23" t="s">
        <v>5870</v>
      </c>
      <c r="Q1989" s="23">
        <v>45080</v>
      </c>
      <c r="R1989" s="32">
        <v>45446</v>
      </c>
      <c r="V1989" s="33">
        <v>100</v>
      </c>
      <c r="W1989" s="28">
        <v>64.29</v>
      </c>
      <c r="X1989" s="34" t="s">
        <v>54</v>
      </c>
      <c r="Y1989" s="33">
        <v>64.29</v>
      </c>
      <c r="AC1989" s="28">
        <v>64.29</v>
      </c>
      <c r="AD1989" s="34" t="s">
        <v>54</v>
      </c>
      <c r="AE1989" s="33">
        <v>64.29</v>
      </c>
      <c r="AN1989" s="7" t="s">
        <v>54</v>
      </c>
      <c r="AO1989" s="7" t="s">
        <v>55</v>
      </c>
      <c r="AP1989" s="7" t="s">
        <v>56</v>
      </c>
      <c r="AT1989" s="47" t="s">
        <v>57</v>
      </c>
      <c r="AU1989" s="47" t="s">
        <v>57</v>
      </c>
    </row>
    <row r="1990" spans="1:47">
      <c r="A1990" s="4" t="s">
        <v>48</v>
      </c>
      <c r="C1990" s="21"/>
      <c r="D1990" s="22" t="s">
        <v>49</v>
      </c>
      <c r="G1990" s="23">
        <v>45079</v>
      </c>
      <c r="H1990" s="24" t="s">
        <v>5871</v>
      </c>
      <c r="J1990" s="28" t="s">
        <v>51</v>
      </c>
      <c r="L1990" s="24" t="s">
        <v>5872</v>
      </c>
      <c r="M1990" s="1" t="str">
        <f>"342122197811070025"</f>
        <v>342122197811070025</v>
      </c>
      <c r="N1990" s="24" t="s">
        <v>5872</v>
      </c>
      <c r="O1990" s="1" t="str">
        <f>"342122197811070025"</f>
        <v>342122197811070025</v>
      </c>
      <c r="P1990" s="23" t="s">
        <v>5873</v>
      </c>
      <c r="Q1990" s="23">
        <v>45080</v>
      </c>
      <c r="R1990" s="32">
        <v>45446</v>
      </c>
      <c r="V1990" s="33">
        <v>100</v>
      </c>
      <c r="W1990" s="28">
        <v>64.29</v>
      </c>
      <c r="X1990" s="34" t="s">
        <v>54</v>
      </c>
      <c r="Y1990" s="33">
        <v>64.29</v>
      </c>
      <c r="AC1990" s="28">
        <v>64.29</v>
      </c>
      <c r="AD1990" s="34" t="s">
        <v>54</v>
      </c>
      <c r="AE1990" s="33">
        <v>64.29</v>
      </c>
      <c r="AN1990" s="7" t="s">
        <v>54</v>
      </c>
      <c r="AO1990" s="7" t="s">
        <v>55</v>
      </c>
      <c r="AP1990" s="7" t="s">
        <v>56</v>
      </c>
      <c r="AT1990" s="47" t="s">
        <v>57</v>
      </c>
      <c r="AU1990" s="47" t="s">
        <v>57</v>
      </c>
    </row>
    <row r="1991" spans="1:47">
      <c r="A1991" s="4" t="s">
        <v>48</v>
      </c>
      <c r="C1991" s="21"/>
      <c r="D1991" s="22" t="s">
        <v>49</v>
      </c>
      <c r="G1991" s="23">
        <v>45088</v>
      </c>
      <c r="H1991" s="24" t="s">
        <v>5874</v>
      </c>
      <c r="J1991" s="28" t="s">
        <v>51</v>
      </c>
      <c r="L1991" s="24" t="s">
        <v>5875</v>
      </c>
      <c r="M1991" s="1" t="str">
        <f>"340824198103050051"</f>
        <v>340824198103050051</v>
      </c>
      <c r="N1991" s="24" t="s">
        <v>5875</v>
      </c>
      <c r="O1991" s="1" t="str">
        <f>"340824198103050051"</f>
        <v>340824198103050051</v>
      </c>
      <c r="P1991" s="23" t="s">
        <v>5876</v>
      </c>
      <c r="Q1991" s="23">
        <v>45089</v>
      </c>
      <c r="R1991" s="32">
        <v>45455</v>
      </c>
      <c r="V1991" s="33">
        <v>200</v>
      </c>
      <c r="W1991" s="28">
        <v>64.29</v>
      </c>
      <c r="X1991" s="34" t="s">
        <v>54</v>
      </c>
      <c r="Y1991" s="33">
        <v>128.58</v>
      </c>
      <c r="AC1991" s="28">
        <v>64.29</v>
      </c>
      <c r="AD1991" s="34" t="s">
        <v>54</v>
      </c>
      <c r="AE1991" s="33">
        <v>128.58</v>
      </c>
      <c r="AN1991" s="7" t="s">
        <v>54</v>
      </c>
      <c r="AO1991" s="7" t="s">
        <v>55</v>
      </c>
      <c r="AP1991" s="7" t="s">
        <v>56</v>
      </c>
      <c r="AT1991" s="47" t="s">
        <v>57</v>
      </c>
      <c r="AU1991" s="47" t="s">
        <v>57</v>
      </c>
    </row>
    <row r="1992" spans="1:47">
      <c r="A1992" s="4" t="s">
        <v>48</v>
      </c>
      <c r="C1992" s="21"/>
      <c r="D1992" s="22" t="s">
        <v>49</v>
      </c>
      <c r="G1992" s="23">
        <v>45087</v>
      </c>
      <c r="H1992" s="24" t="s">
        <v>5877</v>
      </c>
      <c r="J1992" s="28" t="s">
        <v>51</v>
      </c>
      <c r="L1992" s="24" t="s">
        <v>5878</v>
      </c>
      <c r="M1992" s="1" t="str">
        <f>"130323199205100832"</f>
        <v>130323199205100832</v>
      </c>
      <c r="N1992" s="24" t="s">
        <v>5878</v>
      </c>
      <c r="O1992" s="1" t="str">
        <f>"130323199205100832"</f>
        <v>130323199205100832</v>
      </c>
      <c r="P1992" s="23" t="s">
        <v>5879</v>
      </c>
      <c r="Q1992" s="23">
        <v>45088</v>
      </c>
      <c r="R1992" s="32">
        <v>45454</v>
      </c>
      <c r="V1992" s="33">
        <v>200</v>
      </c>
      <c r="W1992" s="28">
        <v>64.29</v>
      </c>
      <c r="X1992" s="34" t="s">
        <v>54</v>
      </c>
      <c r="Y1992" s="33">
        <v>128.58</v>
      </c>
      <c r="AC1992" s="28">
        <v>64.29</v>
      </c>
      <c r="AD1992" s="34" t="s">
        <v>54</v>
      </c>
      <c r="AE1992" s="33">
        <v>128.58</v>
      </c>
      <c r="AN1992" s="7" t="s">
        <v>54</v>
      </c>
      <c r="AO1992" s="7" t="s">
        <v>55</v>
      </c>
      <c r="AP1992" s="7" t="s">
        <v>56</v>
      </c>
      <c r="AT1992" s="47" t="s">
        <v>57</v>
      </c>
      <c r="AU1992" s="47" t="s">
        <v>57</v>
      </c>
    </row>
    <row r="1993" spans="1:47">
      <c r="A1993" s="4" t="s">
        <v>48</v>
      </c>
      <c r="C1993" s="21"/>
      <c r="D1993" s="22" t="s">
        <v>49</v>
      </c>
      <c r="G1993" s="23">
        <v>45087</v>
      </c>
      <c r="H1993" s="24" t="s">
        <v>5880</v>
      </c>
      <c r="J1993" s="28" t="s">
        <v>51</v>
      </c>
      <c r="L1993" s="24" t="s">
        <v>5881</v>
      </c>
      <c r="M1993" s="1" t="str">
        <f>"133001198001220828"</f>
        <v>133001198001220828</v>
      </c>
      <c r="N1993" s="24" t="s">
        <v>5881</v>
      </c>
      <c r="O1993" s="1" t="str">
        <f>"133001198001220828"</f>
        <v>133001198001220828</v>
      </c>
      <c r="P1993" s="23" t="s">
        <v>5882</v>
      </c>
      <c r="Q1993" s="23">
        <v>45088</v>
      </c>
      <c r="R1993" s="32">
        <v>45454</v>
      </c>
      <c r="V1993" s="33">
        <v>200</v>
      </c>
      <c r="W1993" s="28">
        <v>64.29</v>
      </c>
      <c r="X1993" s="34" t="s">
        <v>54</v>
      </c>
      <c r="Y1993" s="33">
        <v>128.58</v>
      </c>
      <c r="AC1993" s="28">
        <v>64.29</v>
      </c>
      <c r="AD1993" s="34" t="s">
        <v>54</v>
      </c>
      <c r="AE1993" s="33">
        <v>128.58</v>
      </c>
      <c r="AN1993" s="7" t="s">
        <v>54</v>
      </c>
      <c r="AO1993" s="7" t="s">
        <v>55</v>
      </c>
      <c r="AP1993" s="7" t="s">
        <v>56</v>
      </c>
      <c r="AT1993" s="47" t="s">
        <v>57</v>
      </c>
      <c r="AU1993" s="47" t="s">
        <v>57</v>
      </c>
    </row>
    <row r="1994" spans="1:47">
      <c r="A1994" s="4" t="s">
        <v>48</v>
      </c>
      <c r="C1994" s="21"/>
      <c r="D1994" s="22" t="s">
        <v>49</v>
      </c>
      <c r="G1994" s="23">
        <v>45086</v>
      </c>
      <c r="H1994" s="24" t="s">
        <v>5883</v>
      </c>
      <c r="J1994" s="28" t="s">
        <v>51</v>
      </c>
      <c r="L1994" s="24" t="s">
        <v>5884</v>
      </c>
      <c r="M1994" s="1" t="str">
        <f>"342101196310011370"</f>
        <v>342101196310011370</v>
      </c>
      <c r="N1994" s="24" t="s">
        <v>5884</v>
      </c>
      <c r="O1994" s="1" t="str">
        <f>"342101196310011370"</f>
        <v>342101196310011370</v>
      </c>
      <c r="P1994" s="23" t="s">
        <v>5885</v>
      </c>
      <c r="Q1994" s="23">
        <v>45087</v>
      </c>
      <c r="R1994" s="32">
        <v>45453</v>
      </c>
      <c r="V1994" s="33">
        <v>200</v>
      </c>
      <c r="W1994" s="28">
        <v>64.29</v>
      </c>
      <c r="X1994" s="34" t="s">
        <v>54</v>
      </c>
      <c r="Y1994" s="33">
        <v>128.58</v>
      </c>
      <c r="AC1994" s="28">
        <v>64.29</v>
      </c>
      <c r="AD1994" s="34" t="s">
        <v>54</v>
      </c>
      <c r="AE1994" s="33">
        <v>128.58</v>
      </c>
      <c r="AN1994" s="7" t="s">
        <v>54</v>
      </c>
      <c r="AO1994" s="7" t="s">
        <v>55</v>
      </c>
      <c r="AP1994" s="7" t="s">
        <v>56</v>
      </c>
      <c r="AT1994" s="47" t="s">
        <v>57</v>
      </c>
      <c r="AU1994" s="47" t="s">
        <v>57</v>
      </c>
    </row>
    <row r="1995" spans="1:47">
      <c r="A1995" s="4" t="s">
        <v>48</v>
      </c>
      <c r="C1995" s="21"/>
      <c r="D1995" s="22" t="s">
        <v>49</v>
      </c>
      <c r="G1995" s="23">
        <v>45087</v>
      </c>
      <c r="H1995" s="24" t="s">
        <v>5886</v>
      </c>
      <c r="J1995" s="28" t="s">
        <v>51</v>
      </c>
      <c r="L1995" s="24" t="s">
        <v>5887</v>
      </c>
      <c r="M1995" s="1" t="str">
        <f>"130926198007081439"</f>
        <v>130926198007081439</v>
      </c>
      <c r="N1995" s="24" t="s">
        <v>5887</v>
      </c>
      <c r="O1995" s="1" t="str">
        <f>"130926198007081439"</f>
        <v>130926198007081439</v>
      </c>
      <c r="P1995" s="23" t="s">
        <v>5888</v>
      </c>
      <c r="Q1995" s="23">
        <v>45088</v>
      </c>
      <c r="R1995" s="32">
        <v>45454</v>
      </c>
      <c r="V1995" s="33">
        <v>200</v>
      </c>
      <c r="W1995" s="28">
        <v>64.29</v>
      </c>
      <c r="X1995" s="34" t="s">
        <v>54</v>
      </c>
      <c r="Y1995" s="33">
        <v>128.58</v>
      </c>
      <c r="AC1995" s="28">
        <v>64.29</v>
      </c>
      <c r="AD1995" s="34" t="s">
        <v>54</v>
      </c>
      <c r="AE1995" s="33">
        <v>128.58</v>
      </c>
      <c r="AN1995" s="7" t="s">
        <v>54</v>
      </c>
      <c r="AO1995" s="7" t="s">
        <v>55</v>
      </c>
      <c r="AP1995" s="7" t="s">
        <v>56</v>
      </c>
      <c r="AT1995" s="47" t="s">
        <v>57</v>
      </c>
      <c r="AU1995" s="47" t="s">
        <v>57</v>
      </c>
    </row>
    <row r="1996" spans="1:47">
      <c r="A1996" s="4" t="s">
        <v>48</v>
      </c>
      <c r="C1996" s="21"/>
      <c r="D1996" s="22" t="s">
        <v>49</v>
      </c>
      <c r="G1996" s="23">
        <v>45087</v>
      </c>
      <c r="H1996" s="24" t="s">
        <v>5889</v>
      </c>
      <c r="J1996" s="28" t="s">
        <v>51</v>
      </c>
      <c r="L1996" s="24" t="s">
        <v>5890</v>
      </c>
      <c r="M1996" s="1" t="str">
        <f>"342122196802209326"</f>
        <v>342122196802209326</v>
      </c>
      <c r="N1996" s="24" t="s">
        <v>5890</v>
      </c>
      <c r="O1996" s="1" t="str">
        <f>"342122196802209326"</f>
        <v>342122196802209326</v>
      </c>
      <c r="P1996" s="23" t="s">
        <v>5891</v>
      </c>
      <c r="Q1996" s="23">
        <v>45088</v>
      </c>
      <c r="R1996" s="32">
        <v>45454</v>
      </c>
      <c r="V1996" s="33">
        <v>200</v>
      </c>
      <c r="W1996" s="28">
        <v>64.29</v>
      </c>
      <c r="X1996" s="34" t="s">
        <v>54</v>
      </c>
      <c r="Y1996" s="33">
        <v>128.58</v>
      </c>
      <c r="AC1996" s="28">
        <v>64.29</v>
      </c>
      <c r="AD1996" s="34" t="s">
        <v>54</v>
      </c>
      <c r="AE1996" s="33">
        <v>128.58</v>
      </c>
      <c r="AN1996" s="7" t="s">
        <v>54</v>
      </c>
      <c r="AO1996" s="7" t="s">
        <v>55</v>
      </c>
      <c r="AP1996" s="7" t="s">
        <v>56</v>
      </c>
      <c r="AT1996" s="47" t="s">
        <v>57</v>
      </c>
      <c r="AU1996" s="47" t="s">
        <v>57</v>
      </c>
    </row>
    <row r="1997" spans="1:47">
      <c r="A1997" s="4" t="s">
        <v>48</v>
      </c>
      <c r="C1997" s="21"/>
      <c r="D1997" s="22" t="s">
        <v>49</v>
      </c>
      <c r="G1997" s="23">
        <v>45087</v>
      </c>
      <c r="H1997" s="24" t="s">
        <v>5892</v>
      </c>
      <c r="J1997" s="28" t="s">
        <v>51</v>
      </c>
      <c r="L1997" s="24" t="s">
        <v>5893</v>
      </c>
      <c r="M1997" s="1" t="str">
        <f>"131028198902014966"</f>
        <v>131028198902014966</v>
      </c>
      <c r="N1997" s="24" t="s">
        <v>5893</v>
      </c>
      <c r="O1997" s="1" t="str">
        <f>"131028198902014966"</f>
        <v>131028198902014966</v>
      </c>
      <c r="P1997" s="23" t="s">
        <v>5894</v>
      </c>
      <c r="Q1997" s="23">
        <v>45088</v>
      </c>
      <c r="R1997" s="32">
        <v>45454</v>
      </c>
      <c r="V1997" s="33">
        <v>200</v>
      </c>
      <c r="W1997" s="28">
        <v>64.29</v>
      </c>
      <c r="X1997" s="34" t="s">
        <v>54</v>
      </c>
      <c r="Y1997" s="33">
        <v>128.58</v>
      </c>
      <c r="AC1997" s="28">
        <v>64.29</v>
      </c>
      <c r="AD1997" s="34" t="s">
        <v>54</v>
      </c>
      <c r="AE1997" s="33">
        <v>128.58</v>
      </c>
      <c r="AN1997" s="7" t="s">
        <v>54</v>
      </c>
      <c r="AO1997" s="7" t="s">
        <v>55</v>
      </c>
      <c r="AP1997" s="7" t="s">
        <v>56</v>
      </c>
      <c r="AT1997" s="47" t="s">
        <v>57</v>
      </c>
      <c r="AU1997" s="47" t="s">
        <v>57</v>
      </c>
    </row>
    <row r="1998" spans="1:47">
      <c r="A1998" s="4" t="s">
        <v>48</v>
      </c>
      <c r="C1998" s="21"/>
      <c r="D1998" s="22" t="s">
        <v>49</v>
      </c>
      <c r="G1998" s="23">
        <v>45087</v>
      </c>
      <c r="H1998" s="24" t="s">
        <v>5895</v>
      </c>
      <c r="J1998" s="28" t="s">
        <v>51</v>
      </c>
      <c r="L1998" s="24" t="s">
        <v>5896</v>
      </c>
      <c r="M1998" s="1" t="str">
        <f>"342101196104141318"</f>
        <v>342101196104141318</v>
      </c>
      <c r="N1998" s="24" t="s">
        <v>5896</v>
      </c>
      <c r="O1998" s="1" t="str">
        <f>"342101196104141318"</f>
        <v>342101196104141318</v>
      </c>
      <c r="P1998" s="23" t="s">
        <v>5897</v>
      </c>
      <c r="Q1998" s="23">
        <v>45088</v>
      </c>
      <c r="R1998" s="32">
        <v>45454</v>
      </c>
      <c r="V1998" s="33">
        <v>200</v>
      </c>
      <c r="W1998" s="28">
        <v>64.29</v>
      </c>
      <c r="X1998" s="34" t="s">
        <v>54</v>
      </c>
      <c r="Y1998" s="33">
        <v>128.58</v>
      </c>
      <c r="AC1998" s="28">
        <v>64.29</v>
      </c>
      <c r="AD1998" s="34" t="s">
        <v>54</v>
      </c>
      <c r="AE1998" s="33">
        <v>128.58</v>
      </c>
      <c r="AN1998" s="7" t="s">
        <v>54</v>
      </c>
      <c r="AO1998" s="7" t="s">
        <v>55</v>
      </c>
      <c r="AP1998" s="7" t="s">
        <v>56</v>
      </c>
      <c r="AT1998" s="47" t="s">
        <v>57</v>
      </c>
      <c r="AU1998" s="47" t="s">
        <v>57</v>
      </c>
    </row>
    <row r="1999" spans="1:47">
      <c r="A1999" s="4" t="s">
        <v>48</v>
      </c>
      <c r="C1999" s="21"/>
      <c r="D1999" s="22" t="s">
        <v>49</v>
      </c>
      <c r="G1999" s="23">
        <v>45083</v>
      </c>
      <c r="H1999" s="24" t="s">
        <v>5898</v>
      </c>
      <c r="J1999" s="28" t="s">
        <v>51</v>
      </c>
      <c r="L1999" s="24" t="s">
        <v>5899</v>
      </c>
      <c r="M1999" s="1" t="str">
        <f>"132825196910102460"</f>
        <v>132825196910102460</v>
      </c>
      <c r="N1999" s="24" t="s">
        <v>5899</v>
      </c>
      <c r="O1999" s="1" t="str">
        <f>"132825196910102460"</f>
        <v>132825196910102460</v>
      </c>
      <c r="P1999" s="23" t="s">
        <v>5900</v>
      </c>
      <c r="Q1999" s="23">
        <v>45084</v>
      </c>
      <c r="R1999" s="32">
        <v>45450</v>
      </c>
      <c r="V1999" s="33">
        <v>200</v>
      </c>
      <c r="W1999" s="28">
        <v>64.29</v>
      </c>
      <c r="X1999" s="34" t="s">
        <v>54</v>
      </c>
      <c r="Y1999" s="33">
        <v>128.58</v>
      </c>
      <c r="AC1999" s="28">
        <v>64.29</v>
      </c>
      <c r="AD1999" s="34" t="s">
        <v>54</v>
      </c>
      <c r="AE1999" s="33">
        <v>128.58</v>
      </c>
      <c r="AN1999" s="7" t="s">
        <v>54</v>
      </c>
      <c r="AO1999" s="7" t="s">
        <v>55</v>
      </c>
      <c r="AP1999" s="7" t="s">
        <v>56</v>
      </c>
      <c r="AT1999" s="47" t="s">
        <v>57</v>
      </c>
      <c r="AU1999" s="47" t="s">
        <v>57</v>
      </c>
    </row>
    <row r="2000" s="3" customFormat="1" spans="1:48">
      <c r="A2000" s="49" t="s">
        <v>48</v>
      </c>
      <c r="B2000" s="50"/>
      <c r="C2000" s="51"/>
      <c r="D2000" s="22" t="s">
        <v>49</v>
      </c>
      <c r="E2000" s="49"/>
      <c r="F2000" s="49"/>
      <c r="G2000" s="52">
        <v>45084</v>
      </c>
      <c r="H2000" s="53" t="s">
        <v>5901</v>
      </c>
      <c r="I2000" s="49"/>
      <c r="J2000" s="54" t="s">
        <v>51</v>
      </c>
      <c r="K2000" s="49"/>
      <c r="L2000" s="53" t="s">
        <v>5902</v>
      </c>
      <c r="M2000" s="1" t="str">
        <f>"131023199909250219"</f>
        <v>131023199909250219</v>
      </c>
      <c r="N2000" s="53" t="s">
        <v>5902</v>
      </c>
      <c r="O2000" s="1" t="str">
        <f>"131023199909250219"</f>
        <v>131023199909250219</v>
      </c>
      <c r="P2000" s="23" t="s">
        <v>5903</v>
      </c>
      <c r="Q2000" s="52">
        <v>45085</v>
      </c>
      <c r="R2000" s="55">
        <v>45451</v>
      </c>
      <c r="S2000" s="49"/>
      <c r="T2000" s="49"/>
      <c r="U2000" s="49"/>
      <c r="V2000" s="56">
        <v>200</v>
      </c>
      <c r="W2000" s="54">
        <v>64.29</v>
      </c>
      <c r="X2000" s="57" t="s">
        <v>54</v>
      </c>
      <c r="Y2000" s="56">
        <v>128.58</v>
      </c>
      <c r="Z2000" s="49"/>
      <c r="AA2000" s="49"/>
      <c r="AB2000" s="49"/>
      <c r="AC2000" s="54">
        <v>64.29</v>
      </c>
      <c r="AD2000" s="57" t="s">
        <v>54</v>
      </c>
      <c r="AE2000" s="56">
        <v>128.58</v>
      </c>
      <c r="AF2000" s="49"/>
      <c r="AG2000" s="58"/>
      <c r="AH2000" s="58"/>
      <c r="AI2000" s="58"/>
      <c r="AJ2000" s="58"/>
      <c r="AK2000" s="58"/>
      <c r="AL2000" s="58"/>
      <c r="AM2000" s="58"/>
      <c r="AN2000" s="49" t="s">
        <v>54</v>
      </c>
      <c r="AO2000" s="49" t="s">
        <v>55</v>
      </c>
      <c r="AP2000" s="49" t="s">
        <v>56</v>
      </c>
      <c r="AQ2000" s="49"/>
      <c r="AR2000" s="49"/>
      <c r="AS2000" s="49"/>
      <c r="AT2000" s="47" t="s">
        <v>57</v>
      </c>
      <c r="AU2000" s="47" t="s">
        <v>57</v>
      </c>
      <c r="AV2000" s="49"/>
    </row>
  </sheetData>
  <autoFilter ref="L1:L2000">
    <extLst/>
  </autoFilter>
  <conditionalFormatting sqref="H2">
    <cfRule type="expression" dxfId="0" priority="1">
      <formula>AND(SUMPRODUCT(IFERROR(1*(($H$2&amp;"x")=(H2&amp;"x")),0))&gt;1,NOT(ISBLANK(H2)))</formula>
    </cfRule>
  </conditionalFormatting>
  <conditionalFormatting sqref="H1 H3:H1048576">
    <cfRule type="expression" dxfId="0" priority="3">
      <formula>AND(SUMPRODUCT(IFERROR(1*(($H$1&amp;"x")=(H1&amp;"x")),0))+SUMPRODUCT(IFERROR(1*(($H$3:$H$1048576&amp;"x")=(H1&amp;"x")),0))&gt;1,NOT(ISBLANK(H1)))</formula>
    </cfRule>
  </conditionalFormatting>
  <dataValidations count="2">
    <dataValidation type="list" allowBlank="1" showInputMessage="1" showErrorMessage="1" sqref="AN2 AO2 AS2 AN3:AN4 AN5:AN89 AN90:AN236 AN237:AN353 AN354:AN493 AN494:AN882 AN883:AN1015 AN1016:AN1298 AN1299:AN1597 AN1598:AN1777 AN1778:AN2000 AO3:AO4 AO5:AO89 AO90:AO236 AO237:AO353 AO354:AO493 AO494:AO882 AO883:AO1015 AO1016:AO1298 AO1299:AO1597 AO1598:AO1777 AO1778:AO2000 AS3:AS4 AS5:AS89 AS90:AS236 AS237:AS353 AS354:AS493 AS494:AS882 AS883:AS1015 AS1016:AS1298 AS1299:AS1597 AS1598:AS1777 AS1778:AS2000 AS2001:AS1048576 AN2001:AO1048576">
      <formula1>"是,否"</formula1>
    </dataValidation>
    <dataValidation type="list" allowBlank="1" showInputMessage="1" showErrorMessage="1" sqref="AP2 AP3:AP4 AP5:AP89 AP90:AP236 AP237:AP353 AP354:AP493 AP494:AP882 AP883:AP1015 AP1016:AP1298 AP1299:AP1597 AP1598:AP1777 AP1778:AP2000 AP2001:AP1048576">
      <formula1>"人,物,车"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9"/>
  <sheetViews>
    <sheetView workbookViewId="0">
      <selection activeCell="G11" sqref="G11"/>
    </sheetView>
  </sheetViews>
  <sheetFormatPr defaultColWidth="8.89090909090909" defaultRowHeight="14"/>
  <sheetData>
    <row r="1" spans="1:1">
      <c r="A1" s="1" t="s">
        <v>5904</v>
      </c>
    </row>
    <row r="2" spans="1:1">
      <c r="A2" s="1" t="str">
        <f>"15132445667"</f>
        <v>15132445667</v>
      </c>
    </row>
    <row r="3" spans="1:1">
      <c r="A3" s="1" t="str">
        <f>"15832217558"</f>
        <v>15832217558</v>
      </c>
    </row>
    <row r="4" spans="1:1">
      <c r="A4" s="1" t="str">
        <f>"19955897979"</f>
        <v>19955897979</v>
      </c>
    </row>
    <row r="5" spans="1:1">
      <c r="A5" s="1" t="str">
        <f>"18844544095"</f>
        <v>18844544095</v>
      </c>
    </row>
    <row r="6" spans="1:1">
      <c r="A6" s="1" t="str">
        <f>"17533646740"</f>
        <v>17533646740</v>
      </c>
    </row>
    <row r="7" spans="1:1">
      <c r="A7" s="1" t="str">
        <f>"13483600119"</f>
        <v>13483600119</v>
      </c>
    </row>
    <row r="8" spans="1:1">
      <c r="A8" s="1" t="str">
        <f>"15831676211"</f>
        <v>15831676211</v>
      </c>
    </row>
    <row r="9" spans="1:1">
      <c r="A9" s="1" t="str">
        <f>"18326800077"</f>
        <v>18326800077</v>
      </c>
    </row>
    <row r="10" spans="1:1">
      <c r="A10" s="1" t="str">
        <f>"16515677777"</f>
        <v>16515677777</v>
      </c>
    </row>
    <row r="11" spans="1:1">
      <c r="A11" s="1" t="str">
        <f>"13833678038"</f>
        <v>13833678038</v>
      </c>
    </row>
    <row r="12" spans="1:1">
      <c r="A12" s="1" t="str">
        <f>"13731638773"</f>
        <v>13731638773</v>
      </c>
    </row>
    <row r="13" spans="1:1">
      <c r="A13" s="1" t="str">
        <f>"13784816020"</f>
        <v>13784816020</v>
      </c>
    </row>
    <row r="14" spans="1:1">
      <c r="A14" s="1" t="str">
        <f>"18733692363"</f>
        <v>18733692363</v>
      </c>
    </row>
    <row r="15" spans="1:1">
      <c r="A15" s="1" t="str">
        <f>"15369609497"</f>
        <v>15369609497</v>
      </c>
    </row>
    <row r="16" spans="1:1">
      <c r="A16" s="1" t="str">
        <f>"13582662261"</f>
        <v>13582662261</v>
      </c>
    </row>
    <row r="17" spans="1:1">
      <c r="A17" s="1" t="str">
        <f>"13501070804"</f>
        <v>13501070804</v>
      </c>
    </row>
    <row r="18" spans="1:1">
      <c r="A18" s="1" t="str">
        <f>"15955872327"</f>
        <v>15955872327</v>
      </c>
    </row>
    <row r="19" spans="1:1">
      <c r="A19" s="1" t="str">
        <f>"13515584131"</f>
        <v>13515584131</v>
      </c>
    </row>
    <row r="20" spans="1:1">
      <c r="A20" s="1" t="str">
        <f>"15133689343"</f>
        <v>15133689343</v>
      </c>
    </row>
    <row r="21" spans="1:1">
      <c r="A21" s="1" t="str">
        <f>"13383367559"</f>
        <v>13383367559</v>
      </c>
    </row>
    <row r="22" spans="1:1">
      <c r="A22" s="1" t="str">
        <f>"13865844421"</f>
        <v>13865844421</v>
      </c>
    </row>
    <row r="23" spans="1:1">
      <c r="A23" s="1" t="str">
        <f>"13931642988"</f>
        <v>13931642988</v>
      </c>
    </row>
    <row r="24" spans="1:1">
      <c r="A24" s="1" t="str">
        <f>"13855804022"</f>
        <v>13855804022</v>
      </c>
    </row>
    <row r="25" spans="1:1">
      <c r="A25" s="1" t="str">
        <f>"13832654489"</f>
        <v>13832654489</v>
      </c>
    </row>
    <row r="26" spans="1:1">
      <c r="A26" s="1" t="str">
        <f>"13366246239"</f>
        <v>13366246239</v>
      </c>
    </row>
    <row r="27" spans="1:1">
      <c r="A27" s="1" t="str">
        <f>"13832643768"</f>
        <v>13832643768</v>
      </c>
    </row>
    <row r="28" spans="1:1">
      <c r="A28" s="1" t="str">
        <f>"13390422365"</f>
        <v>13390422365</v>
      </c>
    </row>
    <row r="29" spans="1:1">
      <c r="A29" s="1" t="str">
        <f>"13683340464"</f>
        <v>13683340464</v>
      </c>
    </row>
    <row r="30" spans="1:1">
      <c r="A30" s="1" t="str">
        <f>"13323065323"</f>
        <v>13323065323</v>
      </c>
    </row>
    <row r="31" spans="1:1">
      <c r="A31" s="1" t="str">
        <f>"17310551808"</f>
        <v>17310551808</v>
      </c>
    </row>
    <row r="32" spans="1:1">
      <c r="A32" s="1" t="str">
        <f>"15203365893"</f>
        <v>15203365893</v>
      </c>
    </row>
    <row r="33" spans="1:1">
      <c r="A33" s="1" t="str">
        <f>"13911201337"</f>
        <v>13911201337</v>
      </c>
    </row>
    <row r="34" spans="1:1">
      <c r="A34" s="1" t="str">
        <f>"13701319067"</f>
        <v>13701319067</v>
      </c>
    </row>
    <row r="35" spans="1:1">
      <c r="A35" s="1" t="str">
        <f>"18632202972"</f>
        <v>18632202972</v>
      </c>
    </row>
    <row r="36" spans="1:1">
      <c r="A36" s="1" t="str">
        <f>"13930673389"</f>
        <v>13930673389</v>
      </c>
    </row>
    <row r="37" spans="1:1">
      <c r="A37" s="1" t="str">
        <f>"15531686444"</f>
        <v>15531686444</v>
      </c>
    </row>
    <row r="38" spans="1:1">
      <c r="A38" s="1" t="str">
        <f>"15530697561"</f>
        <v>15530697561</v>
      </c>
    </row>
    <row r="39" spans="1:1">
      <c r="A39" s="1" t="str">
        <f>"13641095675"</f>
        <v>13641095675</v>
      </c>
    </row>
    <row r="40" spans="1:1">
      <c r="A40" s="1" t="str">
        <f>"15001117013"</f>
        <v>15001117013</v>
      </c>
    </row>
    <row r="41" spans="1:1">
      <c r="A41" s="1" t="str">
        <f>"19103169232"</f>
        <v>19103169232</v>
      </c>
    </row>
    <row r="42" spans="1:1">
      <c r="A42" s="1" t="str">
        <f>"13691264294"</f>
        <v>13691264294</v>
      </c>
    </row>
    <row r="43" spans="1:1">
      <c r="A43" s="1" t="str">
        <f>"15694290161"</f>
        <v>15694290161</v>
      </c>
    </row>
    <row r="44" spans="1:1">
      <c r="A44" s="1" t="str">
        <f>"13681049078"</f>
        <v>13681049078</v>
      </c>
    </row>
    <row r="45" spans="1:1">
      <c r="A45" s="1" t="str">
        <f>"15055546518"</f>
        <v>15055546518</v>
      </c>
    </row>
    <row r="46" spans="1:1">
      <c r="A46" s="1" t="str">
        <f>"13956807190"</f>
        <v>13956807190</v>
      </c>
    </row>
    <row r="47" spans="1:1">
      <c r="A47" s="1" t="str">
        <f>"13311188006"</f>
        <v>13311188006</v>
      </c>
    </row>
    <row r="48" spans="1:1">
      <c r="A48" s="1" t="str">
        <f>"13381088369"</f>
        <v>13381088369</v>
      </c>
    </row>
    <row r="49" spans="1:1">
      <c r="A49" s="1" t="str">
        <f>"13903264904"</f>
        <v>13903264904</v>
      </c>
    </row>
    <row r="50" spans="1:1">
      <c r="A50" s="1" t="str">
        <f>"18911524201"</f>
        <v>18911524201</v>
      </c>
    </row>
    <row r="51" spans="1:1">
      <c r="A51" s="1" t="str">
        <f>"13784776906"</f>
        <v>13784776906</v>
      </c>
    </row>
    <row r="52" spans="1:1">
      <c r="A52" s="1" t="str">
        <f>"15350682769"</f>
        <v>15350682769</v>
      </c>
    </row>
    <row r="53" spans="1:1">
      <c r="A53" s="1" t="str">
        <f>"13780264569"</f>
        <v>13780264569</v>
      </c>
    </row>
    <row r="54" spans="1:1">
      <c r="A54" s="1" t="str">
        <f>"13722637905"</f>
        <v>13722637905</v>
      </c>
    </row>
    <row r="55" spans="1:1">
      <c r="A55" s="1" t="str">
        <f>"18503162398"</f>
        <v>18503162398</v>
      </c>
    </row>
    <row r="56" spans="1:1">
      <c r="A56" s="1" t="str">
        <f>"15856796096"</f>
        <v>15856796096</v>
      </c>
    </row>
    <row r="57" spans="1:1">
      <c r="A57" s="1" t="str">
        <f>"18831693685"</f>
        <v>18831693685</v>
      </c>
    </row>
    <row r="58" spans="1:1">
      <c r="A58" s="1" t="str">
        <f>"15933267908"</f>
        <v>15933267908</v>
      </c>
    </row>
    <row r="59" spans="1:1">
      <c r="A59" s="1" t="str">
        <f>"13932669779"</f>
        <v>13932669779</v>
      </c>
    </row>
    <row r="60" spans="1:1">
      <c r="A60" s="1" t="str">
        <f>"19931684788"</f>
        <v>19931684788</v>
      </c>
    </row>
    <row r="61" spans="1:1">
      <c r="A61" s="1" t="str">
        <f>"13162029968"</f>
        <v>13162029968</v>
      </c>
    </row>
    <row r="62" spans="1:1">
      <c r="A62" s="1" t="str">
        <f>"13930660364"</f>
        <v>13930660364</v>
      </c>
    </row>
    <row r="63" spans="1:1">
      <c r="A63" s="1" t="str">
        <f>"13261993114"</f>
        <v>13261993114</v>
      </c>
    </row>
    <row r="64" spans="1:1">
      <c r="A64" s="1" t="str">
        <f>"18515677687"</f>
        <v>18515677687</v>
      </c>
    </row>
    <row r="65" spans="1:1">
      <c r="A65" s="1" t="str">
        <f>"15911188140"</f>
        <v>15911188140</v>
      </c>
    </row>
    <row r="66" spans="1:1">
      <c r="A66" s="1" t="str">
        <f>"15132663336"</f>
        <v>15132663336</v>
      </c>
    </row>
    <row r="67" spans="1:1">
      <c r="A67" s="1" t="str">
        <f>"15133660510"</f>
        <v>15133660510</v>
      </c>
    </row>
    <row r="68" spans="1:1">
      <c r="A68" s="1" t="str">
        <f>"15249802760"</f>
        <v>15249802760</v>
      </c>
    </row>
    <row r="69" spans="1:1">
      <c r="A69" s="1" t="str">
        <f>"15010351379"</f>
        <v>15010351379</v>
      </c>
    </row>
    <row r="70" spans="1:1">
      <c r="A70" s="1" t="str">
        <f>"13956807075"</f>
        <v>13956807075</v>
      </c>
    </row>
    <row r="71" spans="1:1">
      <c r="A71" s="1" t="str">
        <f>"18518099393"</f>
        <v>18518099393</v>
      </c>
    </row>
    <row r="72" spans="1:1">
      <c r="A72" s="1" t="str">
        <f>"13615589103"</f>
        <v>13615589103</v>
      </c>
    </row>
    <row r="73" spans="1:1">
      <c r="A73" s="1" t="str">
        <f>"13512467693"</f>
        <v>13512467693</v>
      </c>
    </row>
    <row r="74" spans="1:1">
      <c r="A74" s="1" t="str">
        <f>"18210608965"</f>
        <v>18210608965</v>
      </c>
    </row>
    <row r="75" spans="1:1">
      <c r="A75" s="1" t="str">
        <f>"13718911088"</f>
        <v>13718911088</v>
      </c>
    </row>
    <row r="76" spans="1:1">
      <c r="A76" s="1" t="str">
        <f>"13785462958"</f>
        <v>13785462958</v>
      </c>
    </row>
    <row r="77" spans="1:1">
      <c r="A77" s="1" t="str">
        <f>"13501308520"</f>
        <v>13501308520</v>
      </c>
    </row>
    <row r="78" spans="1:1">
      <c r="A78" s="1" t="str">
        <f>"18612528525"</f>
        <v>18612528525</v>
      </c>
    </row>
    <row r="79" spans="1:1">
      <c r="A79" s="1" t="str">
        <f>"13866218135"</f>
        <v>13866218135</v>
      </c>
    </row>
    <row r="80" spans="1:1">
      <c r="A80" s="1" t="str">
        <f>"13702095749"</f>
        <v>13702095749</v>
      </c>
    </row>
    <row r="81" spans="1:1">
      <c r="A81" s="1" t="str">
        <f>"15369470444"</f>
        <v>15369470444</v>
      </c>
    </row>
    <row r="82" spans="1:1">
      <c r="A82" s="1" t="str">
        <f>"15210608195"</f>
        <v>15210608195</v>
      </c>
    </row>
    <row r="83" spans="1:1">
      <c r="A83" s="1" t="str">
        <f>"18305582975"</f>
        <v>18305582975</v>
      </c>
    </row>
    <row r="84" spans="1:1">
      <c r="A84" s="1" t="str">
        <f>"13466724219"</f>
        <v>13466724219</v>
      </c>
    </row>
    <row r="85" spans="1:1">
      <c r="A85" s="1" t="str">
        <f>"18133119050"</f>
        <v>18133119050</v>
      </c>
    </row>
    <row r="86" spans="1:1">
      <c r="A86" s="1" t="str">
        <f>"13866278016"</f>
        <v>13866278016</v>
      </c>
    </row>
    <row r="87" spans="1:1">
      <c r="A87" s="1" t="str">
        <f>"15205584363"</f>
        <v>15205584363</v>
      </c>
    </row>
    <row r="88" spans="1:1">
      <c r="A88" s="1" t="str">
        <f>"18655809395"</f>
        <v>18655809395</v>
      </c>
    </row>
    <row r="89" spans="1:1">
      <c r="A89" s="1" t="str">
        <f>"15201907750"</f>
        <v>15201907750</v>
      </c>
    </row>
    <row r="90" spans="1:1">
      <c r="A90" s="1" t="str">
        <f>"15955813598"</f>
        <v>15955813598</v>
      </c>
    </row>
    <row r="91" spans="1:1">
      <c r="A91" s="1" t="str">
        <f>"15356455230"</f>
        <v>15356455230</v>
      </c>
    </row>
    <row r="92" spans="1:1">
      <c r="A92" s="1" t="str">
        <f>"18855803755"</f>
        <v>18855803755</v>
      </c>
    </row>
    <row r="93" spans="1:1">
      <c r="A93" s="1" t="str">
        <f>"18810063356"</f>
        <v>18810063356</v>
      </c>
    </row>
    <row r="94" spans="1:1">
      <c r="A94" s="1" t="str">
        <f>"15375033333"</f>
        <v>15375033333</v>
      </c>
    </row>
    <row r="95" spans="1:1">
      <c r="A95" s="1" t="str">
        <f>"15715585286"</f>
        <v>15715585286</v>
      </c>
    </row>
    <row r="96" spans="1:1">
      <c r="A96" s="1" t="str">
        <f>"17085559999"</f>
        <v>17085559999</v>
      </c>
    </row>
    <row r="97" spans="1:1">
      <c r="A97" s="1" t="str">
        <f>"13488711878"</f>
        <v>13488711878</v>
      </c>
    </row>
    <row r="98" spans="1:1">
      <c r="A98" s="1" t="str">
        <f>"18697698857"</f>
        <v>18697698857</v>
      </c>
    </row>
    <row r="99" spans="1:1">
      <c r="A99" s="1" t="str">
        <f>"18654266999"</f>
        <v>18654266999</v>
      </c>
    </row>
    <row r="100" spans="1:1">
      <c r="A100" s="1" t="str">
        <f>"18810581406"</f>
        <v>18810581406</v>
      </c>
    </row>
    <row r="101" spans="1:1">
      <c r="A101" s="1" t="str">
        <f>"15822574879"</f>
        <v>15822574879</v>
      </c>
    </row>
    <row r="102" spans="1:1">
      <c r="A102" s="1" t="str">
        <f>"18331687885"</f>
        <v>18331687885</v>
      </c>
    </row>
    <row r="103" spans="1:1">
      <c r="A103" s="1" t="str">
        <f>"17604294557"</f>
        <v>17604294557</v>
      </c>
    </row>
    <row r="104" spans="1:1">
      <c r="A104" s="1" t="str">
        <f>"13072066111"</f>
        <v>13072066111</v>
      </c>
    </row>
    <row r="105" spans="1:1">
      <c r="A105" s="1" t="str">
        <f>"13683317093"</f>
        <v>13683317093</v>
      </c>
    </row>
    <row r="106" spans="1:1">
      <c r="A106" s="1" t="str">
        <f>"13146318825"</f>
        <v>13146318825</v>
      </c>
    </row>
    <row r="107" spans="1:1">
      <c r="A107" s="1" t="str">
        <f>"13072066111"</f>
        <v>13072066111</v>
      </c>
    </row>
    <row r="108" spans="1:1">
      <c r="A108" s="1" t="str">
        <f>"15888198508"</f>
        <v>15888198508</v>
      </c>
    </row>
    <row r="109" spans="1:1">
      <c r="A109" s="1" t="str">
        <f>"13703164477"</f>
        <v>13703164477</v>
      </c>
    </row>
    <row r="110" spans="1:1">
      <c r="A110" s="1" t="str">
        <f>"15311064918"</f>
        <v>15311064918</v>
      </c>
    </row>
    <row r="111" spans="1:1">
      <c r="A111" s="1" t="str">
        <f>"13605580529"</f>
        <v>13605580529</v>
      </c>
    </row>
    <row r="112" spans="1:1">
      <c r="A112" s="1" t="str">
        <f>"13355589338"</f>
        <v>13355589338</v>
      </c>
    </row>
    <row r="113" spans="1:1">
      <c r="A113" s="1" t="str">
        <f>"13717881505"</f>
        <v>13717881505</v>
      </c>
    </row>
    <row r="114" spans="1:1">
      <c r="A114" s="1" t="str">
        <f>"13810095145"</f>
        <v>13810095145</v>
      </c>
    </row>
    <row r="115" spans="1:1">
      <c r="A115" s="1" t="str">
        <f>"18920521301"</f>
        <v>18920521301</v>
      </c>
    </row>
    <row r="116" spans="1:1">
      <c r="A116" s="1" t="str">
        <f>"18931654686"</f>
        <v>18931654686</v>
      </c>
    </row>
    <row r="117" spans="1:1">
      <c r="A117" s="1" t="str">
        <f>"18331606987"</f>
        <v>18331606987</v>
      </c>
    </row>
    <row r="118" spans="1:1">
      <c r="A118" s="1" t="str">
        <f>"15010382599"</f>
        <v>15010382599</v>
      </c>
    </row>
    <row r="119" spans="1:1">
      <c r="A119" s="1" t="str">
        <f>"18610613560"</f>
        <v>18610613560</v>
      </c>
    </row>
    <row r="120" spans="1:1">
      <c r="A120" s="1" t="str">
        <f>"18931654686"</f>
        <v>18931654686</v>
      </c>
    </row>
    <row r="121" spans="1:1">
      <c r="A121" s="1" t="str">
        <f>"15324506960"</f>
        <v>15324506960</v>
      </c>
    </row>
    <row r="122" spans="1:1">
      <c r="A122" s="1" t="str">
        <f>"13785696134"</f>
        <v>13785696134</v>
      </c>
    </row>
    <row r="123" spans="1:1">
      <c r="A123" s="1" t="str">
        <f>"18510974198"</f>
        <v>18510974198</v>
      </c>
    </row>
    <row r="124" spans="1:1">
      <c r="A124" s="1" t="str">
        <f>"13911848313"</f>
        <v>13911848313</v>
      </c>
    </row>
    <row r="125" spans="1:1">
      <c r="A125" s="1" t="str">
        <f>"18512250082"</f>
        <v>18512250082</v>
      </c>
    </row>
    <row r="126" spans="1:1">
      <c r="A126" s="1" t="str">
        <f>"15313278799"</f>
        <v>15313278799</v>
      </c>
    </row>
    <row r="127" spans="1:1">
      <c r="A127" s="1" t="str">
        <f>"18201362989"</f>
        <v>18201362989</v>
      </c>
    </row>
    <row r="128" spans="1:1">
      <c r="A128" s="1" t="str">
        <f>"13718034888"</f>
        <v>13718034888</v>
      </c>
    </row>
    <row r="129" spans="1:1">
      <c r="A129" s="1" t="str">
        <f>"17356849687"</f>
        <v>17356849687</v>
      </c>
    </row>
    <row r="130" spans="1:1">
      <c r="A130" s="1" t="str">
        <f>"13699109010"</f>
        <v>13699109010</v>
      </c>
    </row>
    <row r="131" spans="1:1">
      <c r="A131" s="1" t="str">
        <f>"15856795072"</f>
        <v>15856795072</v>
      </c>
    </row>
    <row r="132" spans="1:1">
      <c r="A132" s="1" t="str">
        <f>"18222567126"</f>
        <v>18222567126</v>
      </c>
    </row>
    <row r="133" spans="1:1">
      <c r="A133" s="1" t="str">
        <f>"13716525104"</f>
        <v>13716525104</v>
      </c>
    </row>
    <row r="134" spans="1:1">
      <c r="A134" s="1" t="str">
        <f>"15620977720"</f>
        <v>15620977720</v>
      </c>
    </row>
    <row r="135" spans="1:1">
      <c r="A135" s="1" t="str">
        <f>"13693647599"</f>
        <v>13693647599</v>
      </c>
    </row>
    <row r="136" spans="1:1">
      <c r="A136" s="1" t="str">
        <f>"13161356979"</f>
        <v>13161356979</v>
      </c>
    </row>
    <row r="137" spans="1:1">
      <c r="A137" s="1" t="str">
        <f>"13956688168"</f>
        <v>13956688168</v>
      </c>
    </row>
    <row r="138" spans="1:1">
      <c r="A138" s="1" t="str">
        <f>"13085585775"</f>
        <v>13085585775</v>
      </c>
    </row>
    <row r="139" spans="1:1">
      <c r="A139" s="1" t="str">
        <f>"13930627286"</f>
        <v>13930627286</v>
      </c>
    </row>
    <row r="140" spans="1:1">
      <c r="A140" s="1" t="str">
        <f>"18055877118"</f>
        <v>18055877118</v>
      </c>
    </row>
    <row r="141" spans="1:1">
      <c r="A141" s="1" t="str">
        <f>"15255886205"</f>
        <v>15255886205</v>
      </c>
    </row>
    <row r="142" spans="1:1">
      <c r="A142" s="1" t="str">
        <f>"16605697888"</f>
        <v>16605697888</v>
      </c>
    </row>
    <row r="143" spans="1:1">
      <c r="A143" s="1" t="str">
        <f>"15660925516"</f>
        <v>15660925516</v>
      </c>
    </row>
    <row r="144" spans="1:1">
      <c r="A144" s="1" t="str">
        <f>"18956448306"</f>
        <v>18956448306</v>
      </c>
    </row>
    <row r="145" spans="1:1">
      <c r="A145" s="1" t="str">
        <f>"13785662193"</f>
        <v>13785662193</v>
      </c>
    </row>
    <row r="146" spans="1:1">
      <c r="A146" s="1" t="str">
        <f>"15805582101"</f>
        <v>15805582101</v>
      </c>
    </row>
    <row r="147" spans="1:1">
      <c r="A147" s="1" t="str">
        <f>"13999008698"</f>
        <v>13999008698</v>
      </c>
    </row>
    <row r="148" spans="1:1">
      <c r="A148" s="1" t="str">
        <f>"15856783505"</f>
        <v>15856783505</v>
      </c>
    </row>
    <row r="149" spans="1:1">
      <c r="A149" s="1" t="str">
        <f>"17710190513"</f>
        <v>17710190513</v>
      </c>
    </row>
    <row r="150" spans="1:1">
      <c r="A150" s="1" t="str">
        <f>"13965583367"</f>
        <v>13965583367</v>
      </c>
    </row>
    <row r="151" spans="1:1">
      <c r="A151" s="1" t="str">
        <f>"13833372827"</f>
        <v>13833372827</v>
      </c>
    </row>
    <row r="152" spans="1:1">
      <c r="A152" s="1" t="str">
        <f>"15077939057"</f>
        <v>15077939057</v>
      </c>
    </row>
    <row r="153" spans="1:1">
      <c r="A153" s="1" t="str">
        <f>"13601214335"</f>
        <v>13601214335</v>
      </c>
    </row>
    <row r="154" spans="1:1">
      <c r="A154" s="1" t="str">
        <f>"13965587995"</f>
        <v>13965587995</v>
      </c>
    </row>
    <row r="155" spans="1:1">
      <c r="A155" s="1" t="str">
        <f>"13955854284"</f>
        <v>13955854284</v>
      </c>
    </row>
    <row r="156" spans="1:1">
      <c r="A156" s="1" t="str">
        <f>"13966559261"</f>
        <v>13966559261</v>
      </c>
    </row>
    <row r="157" spans="1:1">
      <c r="A157" s="1" t="str">
        <f>"13503164257"</f>
        <v>13503164257</v>
      </c>
    </row>
    <row r="158" spans="1:1">
      <c r="A158" s="1" t="str">
        <f>"15855833999"</f>
        <v>15855833999</v>
      </c>
    </row>
    <row r="159" spans="1:1">
      <c r="A159" s="1" t="str">
        <f>"13472399814"</f>
        <v>13472399814</v>
      </c>
    </row>
    <row r="160" spans="1:1">
      <c r="A160" s="1" t="str">
        <f>"13552598851"</f>
        <v>13552598851</v>
      </c>
    </row>
    <row r="161" spans="1:1">
      <c r="A161" s="1" t="str">
        <f>"13821697528"</f>
        <v>13821697528</v>
      </c>
    </row>
    <row r="162" spans="1:1">
      <c r="A162" s="1" t="str">
        <f>"13718923555"</f>
        <v>13718923555</v>
      </c>
    </row>
    <row r="163" spans="1:1">
      <c r="A163" s="1" t="str">
        <f>"13141375695"</f>
        <v>13141375695</v>
      </c>
    </row>
    <row r="164" spans="1:1">
      <c r="A164" s="1" t="str">
        <f>"17736706490"</f>
        <v>17736706490</v>
      </c>
    </row>
    <row r="165" spans="1:1">
      <c r="A165" s="1" t="str">
        <f>"13312072984"</f>
        <v>13312072984</v>
      </c>
    </row>
    <row r="166" spans="1:1">
      <c r="A166" s="1" t="str">
        <f>"18833676943"</f>
        <v>18833676943</v>
      </c>
    </row>
    <row r="167" spans="1:1">
      <c r="A167" s="1" t="str">
        <f>"15030646906"</f>
        <v>15030646906</v>
      </c>
    </row>
    <row r="168" spans="1:1">
      <c r="A168" s="1" t="str">
        <f>"18225589572"</f>
        <v>18225589572</v>
      </c>
    </row>
    <row r="169" spans="1:1">
      <c r="A169" s="1" t="str">
        <f>"13801024707"</f>
        <v>13801024707</v>
      </c>
    </row>
    <row r="170" spans="1:1">
      <c r="A170" s="1" t="str">
        <f>"18600045433"</f>
        <v>18600045433</v>
      </c>
    </row>
    <row r="171" spans="1:1">
      <c r="A171" s="1" t="str">
        <f>"15855806086"</f>
        <v>15855806086</v>
      </c>
    </row>
    <row r="172" spans="1:1">
      <c r="A172" s="1" t="str">
        <f>"15011345611"</f>
        <v>15011345611</v>
      </c>
    </row>
    <row r="173" spans="1:1">
      <c r="A173" s="1" t="str">
        <f>"15855806086"</f>
        <v>15855806086</v>
      </c>
    </row>
    <row r="174" spans="1:1">
      <c r="A174" s="1" t="str">
        <f>"18622271792"</f>
        <v>18622271792</v>
      </c>
    </row>
    <row r="175" spans="1:1">
      <c r="A175" s="1" t="str">
        <f>"13301208810"</f>
        <v>13301208810</v>
      </c>
    </row>
    <row r="176" spans="1:1">
      <c r="A176" s="1" t="str">
        <f>"13933947829"</f>
        <v>13933947829</v>
      </c>
    </row>
    <row r="177" spans="1:1">
      <c r="A177" s="1" t="str">
        <f>"15855586096"</f>
        <v>15855586096</v>
      </c>
    </row>
    <row r="178" spans="1:1">
      <c r="A178" s="1" t="str">
        <f>"13955873593"</f>
        <v>13955873593</v>
      </c>
    </row>
    <row r="179" spans="1:1">
      <c r="A179" s="1" t="str">
        <f>"13581756712"</f>
        <v>13581756712</v>
      </c>
    </row>
    <row r="180" spans="1:1">
      <c r="A180" s="1" t="str">
        <f>"13910256905"</f>
        <v>13910256905</v>
      </c>
    </row>
    <row r="181" spans="1:1">
      <c r="A181" s="1" t="str">
        <f>"13231631718"</f>
        <v>13231631718</v>
      </c>
    </row>
    <row r="182" spans="1:1">
      <c r="A182" s="1" t="str">
        <f>"13315609331"</f>
        <v>13315609331</v>
      </c>
    </row>
    <row r="183" spans="1:1">
      <c r="A183" s="1" t="str">
        <f>"18324869991"</f>
        <v>18324869991</v>
      </c>
    </row>
    <row r="184" spans="1:1">
      <c r="A184" s="1" t="str">
        <f>"13701098812"</f>
        <v>13701098812</v>
      </c>
    </row>
    <row r="185" spans="1:1">
      <c r="A185" s="1" t="str">
        <f>"15075686386"</f>
        <v>15075686386</v>
      </c>
    </row>
    <row r="186" spans="1:1">
      <c r="A186" s="1" t="str">
        <f>"13821221343"</f>
        <v>13821221343</v>
      </c>
    </row>
    <row r="187" spans="1:1">
      <c r="A187" s="1" t="str">
        <f>"18532326035"</f>
        <v>18532326035</v>
      </c>
    </row>
    <row r="188" spans="1:1">
      <c r="A188" s="1" t="str">
        <f>"17360780929"</f>
        <v>17360780929</v>
      </c>
    </row>
    <row r="189" spans="1:1">
      <c r="A189" s="1" t="str">
        <f>"18832698315"</f>
        <v>18832698315</v>
      </c>
    </row>
    <row r="190" spans="1:1">
      <c r="A190" s="1" t="str">
        <f>"13930646730"</f>
        <v>13930646730</v>
      </c>
    </row>
    <row r="191" spans="1:1">
      <c r="A191" s="1" t="str">
        <f>"13288322714"</f>
        <v>13288322714</v>
      </c>
    </row>
    <row r="192" spans="1:1">
      <c r="A192" s="1" t="str">
        <f>"15369660318"</f>
        <v>15369660318</v>
      </c>
    </row>
    <row r="193" spans="1:1">
      <c r="A193" s="1" t="str">
        <f>"18705680959"</f>
        <v>18705680959</v>
      </c>
    </row>
    <row r="194" spans="1:1">
      <c r="A194" s="1" t="str">
        <f>"15931610695"</f>
        <v>15931610695</v>
      </c>
    </row>
    <row r="195" spans="1:1">
      <c r="A195" s="1" t="str">
        <f>"15022397700"</f>
        <v>15022397700</v>
      </c>
    </row>
    <row r="196" spans="1:1">
      <c r="A196" s="1" t="str">
        <f>"15933168896"</f>
        <v>15933168896</v>
      </c>
    </row>
    <row r="197" spans="1:1">
      <c r="A197" s="1" t="str">
        <f>"18133155023"</f>
        <v>18133155023</v>
      </c>
    </row>
    <row r="198" spans="1:1">
      <c r="A198" s="1" t="str">
        <f>"13001197556"</f>
        <v>13001197556</v>
      </c>
    </row>
    <row r="199" spans="1:1">
      <c r="A199" s="1" t="str">
        <f>"18103231438"</f>
        <v>18103231438</v>
      </c>
    </row>
    <row r="200" spans="1:1">
      <c r="A200" s="1" t="str">
        <f>"13172191186"</f>
        <v>13172191186</v>
      </c>
    </row>
    <row r="201" spans="1:1">
      <c r="A201" s="1" t="str">
        <f>"13932618237"</f>
        <v>13932618237</v>
      </c>
    </row>
    <row r="202" spans="1:1">
      <c r="A202" s="1" t="str">
        <f>"18600646647"</f>
        <v>18600646647</v>
      </c>
    </row>
    <row r="203" spans="1:1">
      <c r="A203" s="1" t="str">
        <f>"13613601134"</f>
        <v>13613601134</v>
      </c>
    </row>
    <row r="204" spans="1:1">
      <c r="A204" s="1" t="str">
        <f>"18301437250"</f>
        <v>18301437250</v>
      </c>
    </row>
    <row r="205" spans="1:1">
      <c r="A205" s="1" t="str">
        <f>"13693678525"</f>
        <v>13693678525</v>
      </c>
    </row>
    <row r="206" spans="1:1">
      <c r="A206" s="1" t="str">
        <f>"13785660356"</f>
        <v>13785660356</v>
      </c>
    </row>
    <row r="207" spans="1:1">
      <c r="A207" s="1" t="str">
        <f>"15632616955"</f>
        <v>15632616955</v>
      </c>
    </row>
    <row r="208" spans="1:1">
      <c r="A208" s="1" t="str">
        <f>"13552380038"</f>
        <v>13552380038</v>
      </c>
    </row>
    <row r="209" spans="1:1">
      <c r="A209" s="1" t="str">
        <f>"15831639288"</f>
        <v>15831639288</v>
      </c>
    </row>
    <row r="210" spans="1:1">
      <c r="A210" s="1" t="str">
        <f>"13832699033"</f>
        <v>13832699033</v>
      </c>
    </row>
    <row r="211" spans="1:1">
      <c r="A211" s="1" t="str">
        <f>"18514699199"</f>
        <v>18514699199</v>
      </c>
    </row>
    <row r="212" spans="1:1">
      <c r="A212" s="1" t="str">
        <f>"15100721206"</f>
        <v>15100721206</v>
      </c>
    </row>
    <row r="213" spans="1:1">
      <c r="A213" s="1" t="str">
        <f>"13021975222"</f>
        <v>13021975222</v>
      </c>
    </row>
    <row r="214" spans="1:1">
      <c r="A214" s="1" t="str">
        <f>"13930617116"</f>
        <v>13930617116</v>
      </c>
    </row>
    <row r="215" spans="1:1">
      <c r="A215" s="1" t="str">
        <f>"18955895202"</f>
        <v>18955895202</v>
      </c>
    </row>
    <row r="216" spans="1:1">
      <c r="A216" s="1" t="str">
        <f>"13965550428"</f>
        <v>13965550428</v>
      </c>
    </row>
    <row r="217" spans="1:1">
      <c r="A217" s="1" t="str">
        <f>"15831635678"</f>
        <v>15831635678</v>
      </c>
    </row>
    <row r="218" spans="1:1">
      <c r="A218" s="1" t="str">
        <f>"15856799540"</f>
        <v>15856799540</v>
      </c>
    </row>
    <row r="219" spans="1:1">
      <c r="A219" s="1" t="str">
        <f>"18631355389"</f>
        <v>18631355389</v>
      </c>
    </row>
    <row r="220" spans="1:1">
      <c r="A220" s="1" t="str">
        <f>"15350688077"</f>
        <v>15350688077</v>
      </c>
    </row>
    <row r="221" spans="1:1">
      <c r="A221" s="1" t="str">
        <f>"13722634158"</f>
        <v>13722634158</v>
      </c>
    </row>
    <row r="222" spans="1:1">
      <c r="A222" s="1" t="str">
        <f>"13932646815"</f>
        <v>13932646815</v>
      </c>
    </row>
    <row r="223" spans="1:1">
      <c r="A223" s="1" t="str">
        <f>"13603175010"</f>
        <v>13603175010</v>
      </c>
    </row>
    <row r="224" spans="1:1">
      <c r="A224" s="1" t="str">
        <f>"17716532583"</f>
        <v>17716532583</v>
      </c>
    </row>
    <row r="225" spans="1:1">
      <c r="A225" s="1" t="str">
        <f>"13328548880"</f>
        <v>13328548880</v>
      </c>
    </row>
    <row r="226" spans="1:1">
      <c r="A226" s="1" t="str">
        <f>"15369333321"</f>
        <v>15369333321</v>
      </c>
    </row>
    <row r="227" spans="1:1">
      <c r="A227" s="1" t="str">
        <f>"13731732633"</f>
        <v>13731732633</v>
      </c>
    </row>
    <row r="228" spans="1:1">
      <c r="A228" s="1" t="str">
        <f>"17325685693"</f>
        <v>17325685693</v>
      </c>
    </row>
    <row r="229" spans="1:1">
      <c r="A229" s="1" t="str">
        <f>"15911157986"</f>
        <v>15911157986</v>
      </c>
    </row>
    <row r="230" spans="1:1">
      <c r="A230" s="1" t="str">
        <f>"13111710862"</f>
        <v>13111710862</v>
      </c>
    </row>
    <row r="231" spans="1:1">
      <c r="A231" s="1" t="str">
        <f>"18130761930"</f>
        <v>18130761930</v>
      </c>
    </row>
    <row r="232" spans="1:1">
      <c r="A232" s="1" t="str">
        <f>"15631717071"</f>
        <v>15631717071</v>
      </c>
    </row>
    <row r="233" spans="1:1">
      <c r="A233" s="1" t="str">
        <f>"18911975562"</f>
        <v>18911975562</v>
      </c>
    </row>
    <row r="234" spans="1:1">
      <c r="A234" s="1" t="str">
        <f>"18055850901"</f>
        <v>18055850901</v>
      </c>
    </row>
    <row r="235" spans="1:1">
      <c r="A235" s="1" t="str">
        <f>"15233062951"</f>
        <v>15233062951</v>
      </c>
    </row>
    <row r="236" spans="1:1">
      <c r="A236" s="1" t="str">
        <f>"13601326374"</f>
        <v>13601326374</v>
      </c>
    </row>
    <row r="237" spans="1:1">
      <c r="A237" s="1" t="str">
        <f>"13855809989"</f>
        <v>13855809989</v>
      </c>
    </row>
    <row r="238" spans="1:1">
      <c r="A238" s="1" t="str">
        <f>"17610845007"</f>
        <v>17610845007</v>
      </c>
    </row>
    <row r="239" spans="1:1">
      <c r="A239" s="1" t="str">
        <f>"13731753779"</f>
        <v>13731753779</v>
      </c>
    </row>
    <row r="240" spans="1:1">
      <c r="A240" s="1" t="str">
        <f>"15075643511"</f>
        <v>15075643511</v>
      </c>
    </row>
    <row r="241" spans="1:1">
      <c r="A241" s="1" t="str">
        <f>"15255829769"</f>
        <v>15255829769</v>
      </c>
    </row>
    <row r="242" spans="1:1">
      <c r="A242" s="1" t="str">
        <f>"15010161178"</f>
        <v>15010161178</v>
      </c>
    </row>
    <row r="243" spans="1:1">
      <c r="A243" s="1" t="str">
        <f>"18269919586"</f>
        <v>18269919586</v>
      </c>
    </row>
    <row r="244" spans="1:1">
      <c r="A244" s="1" t="str">
        <f>"13785658921"</f>
        <v>13785658921</v>
      </c>
    </row>
    <row r="245" spans="1:1">
      <c r="A245" s="1" t="str">
        <f>"13932779086"</f>
        <v>13932779086</v>
      </c>
    </row>
    <row r="246" spans="1:1">
      <c r="A246" s="1" t="str">
        <f>"13701298378"</f>
        <v>13701298378</v>
      </c>
    </row>
    <row r="247" spans="1:1">
      <c r="A247" s="1" t="str">
        <f>"13313262456"</f>
        <v>13313262456</v>
      </c>
    </row>
    <row r="248" spans="1:1">
      <c r="A248" s="1" t="str">
        <f>"13030668981"</f>
        <v>13030668981</v>
      </c>
    </row>
    <row r="249" spans="1:1">
      <c r="A249" s="1" t="str">
        <f>"13776176810"</f>
        <v>13776176810</v>
      </c>
    </row>
    <row r="250" spans="1:1">
      <c r="A250" s="1" t="str">
        <f>"17856184300"</f>
        <v>17856184300</v>
      </c>
    </row>
    <row r="251" spans="1:1">
      <c r="A251" s="1" t="str">
        <f>"15018092084"</f>
        <v>15018092084</v>
      </c>
    </row>
    <row r="252" spans="1:1">
      <c r="A252" s="1" t="str">
        <f>"18755837171"</f>
        <v>18755837171</v>
      </c>
    </row>
    <row r="253" spans="1:1">
      <c r="A253" s="1" t="str">
        <f>"15345585251"</f>
        <v>15345585251</v>
      </c>
    </row>
    <row r="254" spans="1:1">
      <c r="A254" s="1" t="str">
        <f>"18255816576"</f>
        <v>18255816576</v>
      </c>
    </row>
    <row r="255" spans="1:1">
      <c r="A255" s="1" t="str">
        <f>"13955803260"</f>
        <v>13955803260</v>
      </c>
    </row>
    <row r="256" spans="1:1">
      <c r="A256" s="1" t="str">
        <f>"15302173328"</f>
        <v>15302173328</v>
      </c>
    </row>
    <row r="257" spans="1:1">
      <c r="A257" s="1" t="str">
        <f>"18105582368"</f>
        <v>18105582368</v>
      </c>
    </row>
    <row r="258" spans="1:1">
      <c r="A258" s="1" t="str">
        <f>"13685885493"</f>
        <v>13685885493</v>
      </c>
    </row>
    <row r="259" spans="1:1">
      <c r="A259" s="1" t="str">
        <f>"15555849130"</f>
        <v>15555849130</v>
      </c>
    </row>
    <row r="260" spans="1:1">
      <c r="A260" s="1" t="str">
        <f>"15715687001"</f>
        <v>15715687001</v>
      </c>
    </row>
    <row r="261" spans="1:1">
      <c r="A261" s="1" t="str">
        <f>"18305588188"</f>
        <v>18305588188</v>
      </c>
    </row>
    <row r="262" spans="1:1">
      <c r="A262" s="1" t="str">
        <f>"15155807513"</f>
        <v>15155807513</v>
      </c>
    </row>
    <row r="263" spans="1:1">
      <c r="A263" s="1" t="str">
        <f>"18855806322"</f>
        <v>18855806322</v>
      </c>
    </row>
    <row r="264" spans="1:1">
      <c r="A264" s="1" t="str">
        <f>"18856865973"</f>
        <v>18856865973</v>
      </c>
    </row>
    <row r="265" spans="1:1">
      <c r="A265" s="1" t="str">
        <f>"17355867607"</f>
        <v>17355867607</v>
      </c>
    </row>
    <row r="266" spans="1:1">
      <c r="A266" s="1" t="str">
        <f>"15385823997"</f>
        <v>15385823997</v>
      </c>
    </row>
    <row r="267" spans="1:1">
      <c r="A267" s="1" t="str">
        <f>"19965842362"</f>
        <v>19965842362</v>
      </c>
    </row>
    <row r="268" spans="1:1">
      <c r="A268" s="1" t="str">
        <f>"13701299509"</f>
        <v>13701299509</v>
      </c>
    </row>
    <row r="269" spans="1:1">
      <c r="A269" s="1" t="str">
        <f>"18110527770"</f>
        <v>18110527770</v>
      </c>
    </row>
    <row r="270" spans="1:1">
      <c r="A270" s="1" t="str">
        <f>"13604780263"</f>
        <v>13604780263</v>
      </c>
    </row>
    <row r="271" spans="1:1">
      <c r="A271" s="1" t="str">
        <f>"15205586170"</f>
        <v>15205586170</v>
      </c>
    </row>
    <row r="272" spans="1:1">
      <c r="A272" s="1" t="str">
        <f>"13505588020"</f>
        <v>13505588020</v>
      </c>
    </row>
    <row r="273" spans="1:1">
      <c r="A273" s="1" t="str">
        <f>"18942677636"</f>
        <v>18942677636</v>
      </c>
    </row>
    <row r="274" spans="1:1">
      <c r="A274" s="1" t="str">
        <f>"18256733309"</f>
        <v>18256733309</v>
      </c>
    </row>
    <row r="275" spans="1:1">
      <c r="A275" s="1" t="str">
        <f>"13395581550"</f>
        <v>13395581550</v>
      </c>
    </row>
    <row r="276" spans="1:1">
      <c r="A276" s="1" t="str">
        <f>"18622103663"</f>
        <v>18622103663</v>
      </c>
    </row>
    <row r="277" spans="1:1">
      <c r="A277" s="1" t="str">
        <f>"18355885912"</f>
        <v>18355885912</v>
      </c>
    </row>
    <row r="278" spans="1:1">
      <c r="A278" s="1" t="str">
        <f>"15556362906"</f>
        <v>15556362906</v>
      </c>
    </row>
    <row r="279" spans="1:1">
      <c r="A279" s="1" t="str">
        <f>"13681225167"</f>
        <v>13681225167</v>
      </c>
    </row>
    <row r="280" spans="1:1">
      <c r="A280" s="1" t="str">
        <f>"17756898212"</f>
        <v>17756898212</v>
      </c>
    </row>
    <row r="281" spans="1:1">
      <c r="A281" s="1" t="str">
        <f>"13805674875"</f>
        <v>13805674875</v>
      </c>
    </row>
    <row r="282" spans="1:1">
      <c r="A282" s="1" t="str">
        <f>"18955878181"</f>
        <v>18955878181</v>
      </c>
    </row>
    <row r="283" spans="1:1">
      <c r="A283" s="1" t="str">
        <f>"15056841614"</f>
        <v>15056841614</v>
      </c>
    </row>
    <row r="284" spans="1:1">
      <c r="A284" s="1" t="str">
        <f>"17600665381"</f>
        <v>17600665381</v>
      </c>
    </row>
    <row r="285" spans="1:1">
      <c r="A285" s="1" t="str">
        <f>"18269996564"</f>
        <v>18269996564</v>
      </c>
    </row>
    <row r="286" spans="1:1">
      <c r="A286" s="1" t="str">
        <f>"13956805955"</f>
        <v>13956805955</v>
      </c>
    </row>
    <row r="287" spans="1:1">
      <c r="A287" s="1" t="str">
        <f>"15715588724"</f>
        <v>15715588724</v>
      </c>
    </row>
    <row r="288" spans="1:1">
      <c r="A288" s="1" t="str">
        <f>"18134662026"</f>
        <v>18134662026</v>
      </c>
    </row>
    <row r="289" spans="1:1">
      <c r="A289" s="1" t="str">
        <f>"15101055625"</f>
        <v>15101055625</v>
      </c>
    </row>
    <row r="290" spans="1:1">
      <c r="A290" s="1" t="str">
        <f>"13965583121"</f>
        <v>13965583121</v>
      </c>
    </row>
    <row r="291" spans="1:1">
      <c r="A291" s="1" t="str">
        <f>"13681349818"</f>
        <v>13681349818</v>
      </c>
    </row>
    <row r="292" spans="1:1">
      <c r="A292" s="1" t="str">
        <f>"19359077270"</f>
        <v>19359077270</v>
      </c>
    </row>
    <row r="293" spans="1:1">
      <c r="A293" s="1" t="str">
        <f>"15601019892"</f>
        <v>15601019892</v>
      </c>
    </row>
    <row r="294" spans="1:1">
      <c r="A294" s="1" t="str">
        <f>"14798265556"</f>
        <v>14798265556</v>
      </c>
    </row>
    <row r="295" spans="1:1">
      <c r="A295" s="1" t="str">
        <f>"18601200429"</f>
        <v>18601200429</v>
      </c>
    </row>
    <row r="296" spans="1:1">
      <c r="A296" s="1" t="str">
        <f>"18631681969"</f>
        <v>18631681969</v>
      </c>
    </row>
    <row r="297" spans="1:1">
      <c r="A297" s="1" t="str">
        <f>"18746976103"</f>
        <v>18746976103</v>
      </c>
    </row>
    <row r="298" spans="1:1">
      <c r="A298" s="1" t="str">
        <f>"13070181368"</f>
        <v>13070181368</v>
      </c>
    </row>
    <row r="299" spans="1:1">
      <c r="A299" s="1" t="str">
        <f>"13801114322"</f>
        <v>13801114322</v>
      </c>
    </row>
    <row r="300" spans="1:1">
      <c r="A300" s="1" t="str">
        <f>"15055889567"</f>
        <v>15055889567</v>
      </c>
    </row>
    <row r="301" spans="1:1">
      <c r="A301" s="1" t="str">
        <f>"15956922641"</f>
        <v>15956922641</v>
      </c>
    </row>
    <row r="302" spans="1:1">
      <c r="A302" s="1" t="str">
        <f>"15155807744"</f>
        <v>15155807744</v>
      </c>
    </row>
    <row r="303" spans="1:1">
      <c r="A303" s="1" t="str">
        <f>"15556368886"</f>
        <v>15556368886</v>
      </c>
    </row>
    <row r="304" spans="1:1">
      <c r="A304" s="1" t="str">
        <f>"19359108166"</f>
        <v>19359108166</v>
      </c>
    </row>
    <row r="305" spans="1:1">
      <c r="A305" s="1" t="str">
        <f>"15075657413"</f>
        <v>15075657413</v>
      </c>
    </row>
    <row r="306" spans="1:1">
      <c r="A306" s="1" t="str">
        <f>"13063370086"</f>
        <v>13063370086</v>
      </c>
    </row>
    <row r="307" spans="1:1">
      <c r="A307" s="1" t="str">
        <f>"15655818131"</f>
        <v>15655818131</v>
      </c>
    </row>
    <row r="308" spans="1:1">
      <c r="A308" s="1" t="str">
        <f>"13120083668"</f>
        <v>13120083668</v>
      </c>
    </row>
    <row r="309" spans="1:1">
      <c r="A309" s="1" t="str">
        <f>"13269600000"</f>
        <v>13269600000</v>
      </c>
    </row>
    <row r="310" spans="1:1">
      <c r="A310" s="1" t="str">
        <f>"13832631426"</f>
        <v>13832631426</v>
      </c>
    </row>
    <row r="311" spans="1:1">
      <c r="A311" s="1" t="str">
        <f>"13731619938"</f>
        <v>13731619938</v>
      </c>
    </row>
    <row r="312" spans="1:1">
      <c r="A312" s="1" t="str">
        <f>"13082047755"</f>
        <v>13082047755</v>
      </c>
    </row>
    <row r="313" spans="1:1">
      <c r="A313" s="1" t="str">
        <f>"13911123024"</f>
        <v>13911123024</v>
      </c>
    </row>
    <row r="314" spans="1:1">
      <c r="A314" s="1" t="str">
        <f>"17812333391"</f>
        <v>17812333391</v>
      </c>
    </row>
    <row r="315" spans="1:1">
      <c r="A315" s="1" t="str">
        <f>"15100701823"</f>
        <v>15100701823</v>
      </c>
    </row>
    <row r="316" spans="1:1">
      <c r="A316" s="1" t="str">
        <f>"15830616782"</f>
        <v>15830616782</v>
      </c>
    </row>
    <row r="317" spans="1:1">
      <c r="A317" s="1" t="str">
        <f>"15343169139"</f>
        <v>15343169139</v>
      </c>
    </row>
    <row r="318" spans="1:1">
      <c r="A318" s="1" t="str">
        <f>"13933949001"</f>
        <v>13933949001</v>
      </c>
    </row>
    <row r="319" spans="1:1">
      <c r="A319" s="1" t="str">
        <f>"13718436825"</f>
        <v>13718436825</v>
      </c>
    </row>
    <row r="320" spans="1:1">
      <c r="A320" s="1" t="str">
        <f>"18518551114"</f>
        <v>18518551114</v>
      </c>
    </row>
    <row r="321" spans="1:1">
      <c r="A321" s="1" t="str">
        <f>"18632645878"</f>
        <v>18632645878</v>
      </c>
    </row>
    <row r="322" spans="1:1">
      <c r="A322" s="1" t="str">
        <f>"18510828025"</f>
        <v>18510828025</v>
      </c>
    </row>
    <row r="323" spans="1:1">
      <c r="A323" s="1" t="str">
        <f>"18531839702"</f>
        <v>18531839702</v>
      </c>
    </row>
    <row r="324" spans="1:1">
      <c r="A324" s="1" t="str">
        <f>"13930612182"</f>
        <v>13930612182</v>
      </c>
    </row>
    <row r="325" spans="1:1">
      <c r="A325" s="1" t="str">
        <f>"18733647761"</f>
        <v>18733647761</v>
      </c>
    </row>
    <row r="326" spans="1:1">
      <c r="A326" s="1" t="str">
        <f>"18600208888"</f>
        <v>18600208888</v>
      </c>
    </row>
    <row r="327" spans="1:1">
      <c r="A327" s="1" t="str">
        <f>"17303260875"</f>
        <v>17303260875</v>
      </c>
    </row>
    <row r="328" spans="1:1">
      <c r="A328" s="1" t="str">
        <f>"13403160712"</f>
        <v>13403160712</v>
      </c>
    </row>
    <row r="329" spans="1:1">
      <c r="A329" s="1" t="str">
        <f>"18199315602"</f>
        <v>18199315602</v>
      </c>
    </row>
    <row r="330" spans="1:1">
      <c r="A330" s="1" t="str">
        <f>"17603033218"</f>
        <v>17603033218</v>
      </c>
    </row>
    <row r="331" spans="1:1">
      <c r="A331" s="1" t="str">
        <f>"15931600800"</f>
        <v>15931600800</v>
      </c>
    </row>
    <row r="332" spans="1:1">
      <c r="A332" s="1" t="str">
        <f>"13731633410"</f>
        <v>13731633410</v>
      </c>
    </row>
    <row r="333" spans="1:1">
      <c r="A333" s="1" t="str">
        <f>"13003674899"</f>
        <v>13003674899</v>
      </c>
    </row>
    <row r="334" spans="1:1">
      <c r="A334" s="1" t="str">
        <f>"17755532791"</f>
        <v>17755532791</v>
      </c>
    </row>
    <row r="335" spans="1:1">
      <c r="A335" s="1" t="str">
        <f>"13784467358"</f>
        <v>13784467358</v>
      </c>
    </row>
    <row r="336" spans="1:1">
      <c r="A336" s="1" t="str">
        <f>"17858865408"</f>
        <v>17858865408</v>
      </c>
    </row>
    <row r="337" spans="1:1">
      <c r="A337" s="1" t="str">
        <f>"15811007983"</f>
        <v>15811007983</v>
      </c>
    </row>
    <row r="338" spans="1:1">
      <c r="A338" s="1" t="str">
        <f>"15256792225"</f>
        <v>15256792225</v>
      </c>
    </row>
    <row r="339" spans="1:1">
      <c r="A339" s="1" t="str">
        <f>"13867195875"</f>
        <v>13867195875</v>
      </c>
    </row>
    <row r="340" spans="1:1">
      <c r="A340" s="1" t="str">
        <f>"15305688623"</f>
        <v>15305688623</v>
      </c>
    </row>
    <row r="341" spans="1:1">
      <c r="A341" s="1" t="str">
        <f>"13221826838"</f>
        <v>13221826838</v>
      </c>
    </row>
    <row r="342" spans="1:1">
      <c r="A342" s="1" t="str">
        <f>"18298168298"</f>
        <v>18298168298</v>
      </c>
    </row>
    <row r="343" spans="1:1">
      <c r="A343" s="1" t="str">
        <f>"13661080517"</f>
        <v>13661080517</v>
      </c>
    </row>
    <row r="344" spans="1:1">
      <c r="A344" s="1" t="str">
        <f>"18726533333"</f>
        <v>18726533333</v>
      </c>
    </row>
    <row r="345" spans="1:1">
      <c r="A345" s="1" t="str">
        <f>"18812125757"</f>
        <v>18812125757</v>
      </c>
    </row>
    <row r="346" spans="1:1">
      <c r="A346" s="1" t="str">
        <f>"18133133092"</f>
        <v>18133133092</v>
      </c>
    </row>
    <row r="347" spans="1:1">
      <c r="A347" s="1" t="str">
        <f>"15028235255"</f>
        <v>15028235255</v>
      </c>
    </row>
    <row r="348" spans="1:1">
      <c r="A348" s="1" t="str">
        <f>"18130729960"</f>
        <v>18130729960</v>
      </c>
    </row>
    <row r="349" spans="1:1">
      <c r="A349" s="1" t="str">
        <f>"13665586782"</f>
        <v>13665586782</v>
      </c>
    </row>
    <row r="350" spans="1:1">
      <c r="A350" s="1" t="str">
        <f>"17755889306"</f>
        <v>17755889306</v>
      </c>
    </row>
    <row r="351" spans="1:1">
      <c r="A351" s="1" t="str">
        <f>"15105589797"</f>
        <v>15105589797</v>
      </c>
    </row>
    <row r="352" spans="1:1">
      <c r="A352" s="1" t="str">
        <f>"13681388138"</f>
        <v>13681388138</v>
      </c>
    </row>
    <row r="353" spans="1:1">
      <c r="A353" s="1" t="str">
        <f>"13167660002"</f>
        <v>13167660002</v>
      </c>
    </row>
    <row r="354" spans="1:1">
      <c r="A354" s="1" t="str">
        <f>"18656879574"</f>
        <v>18656879574</v>
      </c>
    </row>
    <row r="355" spans="1:1">
      <c r="A355" s="1" t="str">
        <f>"18325961998"</f>
        <v>18325961998</v>
      </c>
    </row>
    <row r="356" spans="1:1">
      <c r="A356" s="1" t="str">
        <f>"15256469882"</f>
        <v>15256469882</v>
      </c>
    </row>
    <row r="357" spans="1:1">
      <c r="A357" s="1" t="str">
        <f>"13014091161"</f>
        <v>13014091161</v>
      </c>
    </row>
    <row r="358" spans="1:1">
      <c r="A358" s="1" t="str">
        <f>"17703163077"</f>
        <v>17703163077</v>
      </c>
    </row>
    <row r="359" spans="1:1">
      <c r="A359" s="1" t="str">
        <f>"18031679709"</f>
        <v>18031679709</v>
      </c>
    </row>
    <row r="360" spans="1:1">
      <c r="A360" s="1" t="str">
        <f>"15630819647"</f>
        <v>15630819647</v>
      </c>
    </row>
    <row r="361" spans="1:1">
      <c r="A361" s="1" t="str">
        <f>"15010085832"</f>
        <v>15010085832</v>
      </c>
    </row>
    <row r="362" spans="1:1">
      <c r="A362" s="1" t="str">
        <f>"18633752948"</f>
        <v>18633752948</v>
      </c>
    </row>
    <row r="363" spans="1:1">
      <c r="A363" s="1" t="str">
        <f>"15005583287"</f>
        <v>15005583287</v>
      </c>
    </row>
    <row r="364" spans="1:1">
      <c r="A364" s="1" t="str">
        <f>"15267890080"</f>
        <v>15267890080</v>
      </c>
    </row>
    <row r="365" spans="1:1">
      <c r="A365" s="1" t="str">
        <f>"18096787521"</f>
        <v>18096787521</v>
      </c>
    </row>
    <row r="366" spans="1:1">
      <c r="A366" s="1" t="str">
        <f>"15965253339"</f>
        <v>15965253339</v>
      </c>
    </row>
    <row r="367" spans="1:1">
      <c r="A367" s="1" t="str">
        <f>"13826804973"</f>
        <v>13826804973</v>
      </c>
    </row>
    <row r="368" spans="1:1">
      <c r="A368" s="1" t="str">
        <f>"15100362224"</f>
        <v>15100362224</v>
      </c>
    </row>
    <row r="369" spans="1:1">
      <c r="A369" s="1" t="str">
        <f>"19335220121"</f>
        <v>19335220121</v>
      </c>
    </row>
    <row r="370" spans="1:1">
      <c r="A370" s="1" t="str">
        <f>"18631707333"</f>
        <v>18631707333</v>
      </c>
    </row>
    <row r="371" spans="1:1">
      <c r="A371" s="1" t="str">
        <f>"17756869373"</f>
        <v>17756869373</v>
      </c>
    </row>
    <row r="372" spans="1:1">
      <c r="A372" s="1" t="str">
        <f>"13784762020"</f>
        <v>13784762020</v>
      </c>
    </row>
    <row r="373" spans="1:1">
      <c r="A373" s="1" t="str">
        <f>"17756896228"</f>
        <v>17756896228</v>
      </c>
    </row>
    <row r="374" spans="1:1">
      <c r="A374" s="1" t="str">
        <f>"15630799663"</f>
        <v>15630799663</v>
      </c>
    </row>
    <row r="375" spans="1:1">
      <c r="A375" s="1" t="str">
        <f>"15256844488"</f>
        <v>15256844488</v>
      </c>
    </row>
    <row r="376" spans="1:1">
      <c r="A376" s="1" t="str">
        <f>"13175957732"</f>
        <v>13175957732</v>
      </c>
    </row>
    <row r="377" spans="1:1">
      <c r="A377" s="1" t="str">
        <f>"18733742430"</f>
        <v>18733742430</v>
      </c>
    </row>
    <row r="378" spans="1:1">
      <c r="A378" s="1" t="str">
        <f>"13503123424"</f>
        <v>13503123424</v>
      </c>
    </row>
    <row r="379" spans="1:1">
      <c r="A379" s="1" t="str">
        <f>"19942586380"</f>
        <v>19942586380</v>
      </c>
    </row>
    <row r="380" spans="1:1">
      <c r="A380" s="1" t="str">
        <f>"15555959993"</f>
        <v>15555959993</v>
      </c>
    </row>
    <row r="381" spans="1:1">
      <c r="A381" s="1" t="str">
        <f>"17621498220"</f>
        <v>17621498220</v>
      </c>
    </row>
    <row r="382" spans="1:1">
      <c r="A382" s="1" t="str">
        <f>"15732664967"</f>
        <v>15732664967</v>
      </c>
    </row>
    <row r="383" spans="1:1">
      <c r="A383" s="1" t="str">
        <f>"18226891002"</f>
        <v>18226891002</v>
      </c>
    </row>
    <row r="384" spans="1:1">
      <c r="A384" s="1" t="str">
        <f>"15956887255"</f>
        <v>15956887255</v>
      </c>
    </row>
    <row r="385" spans="1:1">
      <c r="A385" s="1" t="str">
        <f>"13736798067"</f>
        <v>13736798067</v>
      </c>
    </row>
    <row r="386" spans="1:1">
      <c r="A386" s="1" t="str">
        <f>"13095908276"</f>
        <v>13095908276</v>
      </c>
    </row>
    <row r="387" spans="1:1">
      <c r="A387" s="1" t="str">
        <f>"18356859857"</f>
        <v>18356859857</v>
      </c>
    </row>
    <row r="388" spans="1:1">
      <c r="A388" s="1" t="str">
        <f>"15398155058"</f>
        <v>15398155058</v>
      </c>
    </row>
    <row r="389" spans="1:1">
      <c r="A389" s="1" t="str">
        <f>"15805582075"</f>
        <v>15805582075</v>
      </c>
    </row>
    <row r="390" spans="1:1">
      <c r="A390" s="1" t="str">
        <f>"13931252625"</f>
        <v>13931252625</v>
      </c>
    </row>
    <row r="391" spans="1:1">
      <c r="A391" s="1" t="str">
        <f>"13661366430"</f>
        <v>13661366430</v>
      </c>
    </row>
    <row r="392" spans="1:1">
      <c r="A392" s="1" t="str">
        <f>"13161948161"</f>
        <v>13161948161</v>
      </c>
    </row>
    <row r="393" spans="1:1">
      <c r="A393" s="1" t="str">
        <f>"13855880922"</f>
        <v>13855880922</v>
      </c>
    </row>
    <row r="394" spans="1:1">
      <c r="A394" s="1" t="str">
        <f>"18010965689"</f>
        <v>18010965689</v>
      </c>
    </row>
    <row r="395" spans="1:1">
      <c r="A395" s="1" t="str">
        <f>"18712616581"</f>
        <v>18712616581</v>
      </c>
    </row>
    <row r="396" spans="1:1">
      <c r="A396" s="1" t="str">
        <f>"17755802188"</f>
        <v>17755802188</v>
      </c>
    </row>
    <row r="397" spans="1:1">
      <c r="A397" s="1" t="str">
        <f>"18056756825"</f>
        <v>18056756825</v>
      </c>
    </row>
    <row r="398" spans="1:1">
      <c r="A398" s="1" t="str">
        <f>"17755837087"</f>
        <v>17755837087</v>
      </c>
    </row>
    <row r="399" spans="1:1">
      <c r="A399" s="1" t="str">
        <f>"18205680117"</f>
        <v>18205680117</v>
      </c>
    </row>
    <row r="400" spans="1:1">
      <c r="A400" s="1" t="str">
        <f>"15530408759"</f>
        <v>15530408759</v>
      </c>
    </row>
    <row r="401" spans="1:1">
      <c r="A401" s="1" t="str">
        <f>"15855549655"</f>
        <v>15855549655</v>
      </c>
    </row>
    <row r="402" spans="1:1">
      <c r="A402" s="1" t="str">
        <f>"15249809087"</f>
        <v>15249809087</v>
      </c>
    </row>
    <row r="403" spans="1:1">
      <c r="A403" s="1" t="str">
        <f>"13833622860"</f>
        <v>13833622860</v>
      </c>
    </row>
    <row r="404" spans="1:1">
      <c r="A404" s="1" t="str">
        <f>"15030682271"</f>
        <v>15030682271</v>
      </c>
    </row>
    <row r="405" spans="1:1">
      <c r="A405" s="1" t="str">
        <f>"13511010228"</f>
        <v>13511010228</v>
      </c>
    </row>
    <row r="406" spans="1:1">
      <c r="A406" s="1" t="str">
        <f>"17682876669"</f>
        <v>17682876669</v>
      </c>
    </row>
    <row r="407" spans="1:1">
      <c r="A407" s="1" t="str">
        <f>"13965553056"</f>
        <v>13965553056</v>
      </c>
    </row>
    <row r="408" spans="1:1">
      <c r="A408" s="1" t="str">
        <f>"15056826985"</f>
        <v>15056826985</v>
      </c>
    </row>
    <row r="409" spans="1:1">
      <c r="A409" s="1" t="str">
        <f>"14700333818"</f>
        <v>14700333818</v>
      </c>
    </row>
    <row r="410" spans="1:1">
      <c r="A410" s="1" t="str">
        <f>"13083396179"</f>
        <v>13083396179</v>
      </c>
    </row>
    <row r="411" spans="1:1">
      <c r="A411" s="1" t="str">
        <f>"13552725845"</f>
        <v>13552725845</v>
      </c>
    </row>
    <row r="412" spans="1:1">
      <c r="A412" s="1" t="str">
        <f>"15056837233"</f>
        <v>15056837233</v>
      </c>
    </row>
    <row r="413" spans="1:1">
      <c r="A413" s="1" t="str">
        <f>"13513165187"</f>
        <v>13513165187</v>
      </c>
    </row>
    <row r="414" spans="1:1">
      <c r="A414" s="1" t="str">
        <f>"13820593177"</f>
        <v>13820593177</v>
      </c>
    </row>
    <row r="415" spans="1:1">
      <c r="A415" s="1" t="str">
        <f>"18631758789"</f>
        <v>18631758789</v>
      </c>
    </row>
    <row r="416" spans="1:1">
      <c r="A416" s="1" t="str">
        <f>"13930788010"</f>
        <v>13930788010</v>
      </c>
    </row>
    <row r="417" spans="1:1">
      <c r="A417" s="1" t="str">
        <f>"17775000230"</f>
        <v>17775000230</v>
      </c>
    </row>
    <row r="418" spans="1:1">
      <c r="A418" s="1" t="str">
        <f>"13804650777"</f>
        <v>13804650777</v>
      </c>
    </row>
    <row r="419" spans="1:1">
      <c r="A419" s="1" t="str">
        <f>"13231672225"</f>
        <v>13231672225</v>
      </c>
    </row>
    <row r="420" spans="1:1">
      <c r="A420" s="1" t="str">
        <f>"18611399335"</f>
        <v>18611399335</v>
      </c>
    </row>
    <row r="421" spans="1:1">
      <c r="A421" s="1" t="str">
        <f>"13831693077"</f>
        <v>13831693077</v>
      </c>
    </row>
    <row r="422" spans="1:1">
      <c r="A422" s="1" t="str">
        <f>"13661125831"</f>
        <v>13661125831</v>
      </c>
    </row>
    <row r="423" spans="1:1">
      <c r="A423" s="1" t="str">
        <f>"18955825005"</f>
        <v>18955825005</v>
      </c>
    </row>
    <row r="424" spans="1:1">
      <c r="A424" s="1" t="str">
        <f>"15127618637"</f>
        <v>15127618637</v>
      </c>
    </row>
    <row r="425" spans="1:1">
      <c r="A425" s="1" t="str">
        <f>"13955893381"</f>
        <v>13955893381</v>
      </c>
    </row>
    <row r="426" spans="1:1">
      <c r="A426" s="1" t="str">
        <f>"18910682881"</f>
        <v>18910682881</v>
      </c>
    </row>
    <row r="427" spans="1:1">
      <c r="A427" s="1" t="str">
        <f>"15955879892"</f>
        <v>15955879892</v>
      </c>
    </row>
    <row r="428" spans="1:1">
      <c r="A428" s="1" t="str">
        <f>"15077909454"</f>
        <v>15077909454</v>
      </c>
    </row>
    <row r="429" spans="1:1">
      <c r="A429" s="1" t="str">
        <f>"15932637574"</f>
        <v>15932637574</v>
      </c>
    </row>
    <row r="430" spans="1:1">
      <c r="A430" s="1" t="str">
        <f>"13803160298"</f>
        <v>13803160298</v>
      </c>
    </row>
    <row r="431" spans="1:1">
      <c r="A431" s="1" t="str">
        <f>"15055503854"</f>
        <v>15055503854</v>
      </c>
    </row>
    <row r="432" spans="1:1">
      <c r="A432" s="1" t="str">
        <f>"15901412066"</f>
        <v>15901412066</v>
      </c>
    </row>
    <row r="433" spans="1:1">
      <c r="A433" s="1" t="str">
        <f>"13966566890"</f>
        <v>13966566890</v>
      </c>
    </row>
    <row r="434" spans="1:1">
      <c r="A434" s="1" t="str">
        <f>"15551367725"</f>
        <v>15551367725</v>
      </c>
    </row>
    <row r="435" spans="1:1">
      <c r="A435" s="1" t="str">
        <f>"18326864803"</f>
        <v>18326864803</v>
      </c>
    </row>
    <row r="436" spans="1:1">
      <c r="A436" s="1" t="str">
        <f>"15956857820"</f>
        <v>15956857820</v>
      </c>
    </row>
    <row r="437" spans="1:1">
      <c r="A437" s="1" t="str">
        <f>"15205682335"</f>
        <v>15205682335</v>
      </c>
    </row>
    <row r="438" spans="1:1">
      <c r="A438" s="1" t="str">
        <f>"15122402760"</f>
        <v>15122402760</v>
      </c>
    </row>
    <row r="439" spans="1:1">
      <c r="A439" s="1" t="str">
        <f>"15399656573"</f>
        <v>15399656573</v>
      </c>
    </row>
    <row r="440" spans="1:1">
      <c r="A440" s="1" t="str">
        <f>"17331642188"</f>
        <v>17331642188</v>
      </c>
    </row>
    <row r="441" spans="1:1">
      <c r="A441" s="1" t="str">
        <f>"13865898948"</f>
        <v>13865898948</v>
      </c>
    </row>
    <row r="442" spans="1:1">
      <c r="A442" s="1" t="str">
        <f>"18733654760"</f>
        <v>18733654760</v>
      </c>
    </row>
    <row r="443" spans="1:1">
      <c r="A443" s="1" t="str">
        <f>"15076889985"</f>
        <v>15076889985</v>
      </c>
    </row>
    <row r="444" spans="1:1">
      <c r="A444" s="1" t="str">
        <f>"13932699722"</f>
        <v>13932699722</v>
      </c>
    </row>
    <row r="445" spans="1:1">
      <c r="A445" s="1" t="str">
        <f>"13833670853"</f>
        <v>13833670853</v>
      </c>
    </row>
    <row r="446" spans="1:1">
      <c r="A446" s="1" t="str">
        <f>"13755639948"</f>
        <v>13755639948</v>
      </c>
    </row>
    <row r="447" spans="1:1">
      <c r="A447" s="1" t="str">
        <f>"18269938508"</f>
        <v>18269938508</v>
      </c>
    </row>
    <row r="448" spans="1:1">
      <c r="A448" s="1" t="str">
        <f>"18225586667"</f>
        <v>18225586667</v>
      </c>
    </row>
    <row r="449" spans="1:1">
      <c r="A449" s="1" t="str">
        <f>"13966803757"</f>
        <v>13966803757</v>
      </c>
    </row>
    <row r="450" spans="1:1">
      <c r="A450" s="1" t="str">
        <f>"13439282566"</f>
        <v>13439282566</v>
      </c>
    </row>
    <row r="451" spans="1:1">
      <c r="A451" s="1" t="str">
        <f>"18856848865"</f>
        <v>18856848865</v>
      </c>
    </row>
    <row r="452" spans="1:1">
      <c r="A452" s="1" t="str">
        <f>"18205580738"</f>
        <v>18205580738</v>
      </c>
    </row>
    <row r="453" spans="1:1">
      <c r="A453" s="1" t="str">
        <f>"18756884358"</f>
        <v>18756884358</v>
      </c>
    </row>
    <row r="454" spans="1:1">
      <c r="A454" s="1" t="str">
        <f>"13832673710"</f>
        <v>13832673710</v>
      </c>
    </row>
    <row r="455" spans="1:1">
      <c r="A455" s="1" t="str">
        <f>"15957886699"</f>
        <v>15957886699</v>
      </c>
    </row>
    <row r="456" spans="1:1">
      <c r="A456" s="1" t="str">
        <f>"13785474517"</f>
        <v>13785474517</v>
      </c>
    </row>
    <row r="457" spans="1:1">
      <c r="A457" s="1" t="str">
        <f>"13911234731"</f>
        <v>13911234731</v>
      </c>
    </row>
    <row r="458" spans="1:1">
      <c r="A458" s="1" t="str">
        <f>"15155809318"</f>
        <v>15155809318</v>
      </c>
    </row>
    <row r="459" spans="1:1">
      <c r="A459" s="1" t="str">
        <f>"13837835258"</f>
        <v>13837835258</v>
      </c>
    </row>
    <row r="460" spans="1:1">
      <c r="A460" s="1" t="str">
        <f>"13932670708"</f>
        <v>13932670708</v>
      </c>
    </row>
    <row r="461" spans="1:1">
      <c r="A461" s="1" t="str">
        <f>"13752087908"</f>
        <v>13752087908</v>
      </c>
    </row>
    <row r="462" spans="1:1">
      <c r="A462" s="1" t="str">
        <f>"18902176661"</f>
        <v>18902176661</v>
      </c>
    </row>
    <row r="463" spans="1:1">
      <c r="A463" s="1" t="str">
        <f>"15212455566"</f>
        <v>15212455566</v>
      </c>
    </row>
    <row r="464" spans="1:1">
      <c r="A464" s="1" t="str">
        <f>"13956803365"</f>
        <v>13956803365</v>
      </c>
    </row>
    <row r="465" spans="1:1">
      <c r="A465" s="1" t="str">
        <f>"15357697680"</f>
        <v>15357697680</v>
      </c>
    </row>
    <row r="466" spans="1:1">
      <c r="A466" s="1" t="str">
        <f>"13582666965"</f>
        <v>13582666965</v>
      </c>
    </row>
    <row r="467" spans="1:1">
      <c r="A467" s="1" t="str">
        <f>"15715688366"</f>
        <v>15715688366</v>
      </c>
    </row>
    <row r="468" spans="1:1">
      <c r="A468" s="1" t="str">
        <f>"15097632731"</f>
        <v>15097632731</v>
      </c>
    </row>
    <row r="469" spans="1:1">
      <c r="A469" s="1" t="str">
        <f>"18269923818"</f>
        <v>18269923818</v>
      </c>
    </row>
    <row r="470" spans="1:1">
      <c r="A470" s="1" t="str">
        <f>"13956686213"</f>
        <v>13956686213</v>
      </c>
    </row>
    <row r="471" spans="1:1">
      <c r="A471" s="1" t="str">
        <f>"13383677693"</f>
        <v>13383677693</v>
      </c>
    </row>
    <row r="472" spans="1:1">
      <c r="A472" s="1" t="str">
        <f>"15230699958"</f>
        <v>15230699958</v>
      </c>
    </row>
    <row r="473" spans="1:1">
      <c r="A473" s="1" t="str">
        <f>"15156663377"</f>
        <v>15156663377</v>
      </c>
    </row>
    <row r="474" spans="1:1">
      <c r="A474" s="1" t="str">
        <f>"17716553514"</f>
        <v>17716553514</v>
      </c>
    </row>
    <row r="475" spans="1:1">
      <c r="A475" s="1" t="str">
        <f>"13955875617"</f>
        <v>13955875617</v>
      </c>
    </row>
    <row r="476" spans="1:1">
      <c r="A476" s="1" t="str">
        <f>"13965565664"</f>
        <v>13965565664</v>
      </c>
    </row>
    <row r="477" spans="1:1">
      <c r="A477" s="1" t="str">
        <f>"15230675508"</f>
        <v>15230675508</v>
      </c>
    </row>
    <row r="478" spans="1:1">
      <c r="A478" s="1" t="str">
        <f>"19156676720"</f>
        <v>19156676720</v>
      </c>
    </row>
    <row r="479" spans="1:1">
      <c r="A479" s="1" t="str">
        <f>"13866207702"</f>
        <v>13866207702</v>
      </c>
    </row>
    <row r="480" spans="1:1">
      <c r="A480" s="1" t="str">
        <f>"13505580616"</f>
        <v>13505580616</v>
      </c>
    </row>
    <row r="481" spans="1:1">
      <c r="A481" s="1" t="str">
        <f>"13520968213"</f>
        <v>13520968213</v>
      </c>
    </row>
    <row r="482" spans="1:1">
      <c r="A482" s="1" t="str">
        <f>"13865583007"</f>
        <v>13865583007</v>
      </c>
    </row>
    <row r="483" spans="1:1">
      <c r="A483" s="1" t="str">
        <f>"18405583944"</f>
        <v>18405583944</v>
      </c>
    </row>
    <row r="484" spans="1:1">
      <c r="A484" s="1" t="str">
        <f>"13839473027"</f>
        <v>13839473027</v>
      </c>
    </row>
    <row r="485" spans="1:1">
      <c r="A485" s="1" t="str">
        <f>"17821132726"</f>
        <v>17821132726</v>
      </c>
    </row>
    <row r="486" spans="1:1">
      <c r="A486" s="1" t="str">
        <f>"13784792152"</f>
        <v>13784792152</v>
      </c>
    </row>
    <row r="487" spans="1:1">
      <c r="A487" s="1" t="str">
        <f>"13393168328"</f>
        <v>13393168328</v>
      </c>
    </row>
    <row r="488" spans="1:1">
      <c r="A488" s="1" t="str">
        <f>"18205582901"</f>
        <v>18205582901</v>
      </c>
    </row>
    <row r="489" spans="1:1">
      <c r="A489" s="1" t="str">
        <f>"18710144234"</f>
        <v>18710144234</v>
      </c>
    </row>
    <row r="490" spans="1:1">
      <c r="A490" s="1" t="str">
        <f>"13685589312"</f>
        <v>13685589312</v>
      </c>
    </row>
    <row r="491" spans="1:1">
      <c r="A491" s="1" t="str">
        <f>"15222850973"</f>
        <v>15222850973</v>
      </c>
    </row>
    <row r="492" spans="1:1">
      <c r="A492" s="1" t="str">
        <f>"13131672209"</f>
        <v>13131672209</v>
      </c>
    </row>
    <row r="493" spans="1:1">
      <c r="A493" s="1" t="str">
        <f>"17334033207"</f>
        <v>17334033207</v>
      </c>
    </row>
    <row r="494" spans="1:1">
      <c r="A494" s="1" t="str">
        <f>"13910109337"</f>
        <v>13910109337</v>
      </c>
    </row>
    <row r="495" spans="1:1">
      <c r="A495" s="1" t="str">
        <f>"18033678689"</f>
        <v>18033678689</v>
      </c>
    </row>
    <row r="496" spans="1:1">
      <c r="A496" s="1" t="str">
        <f>"15831753199"</f>
        <v>15831753199</v>
      </c>
    </row>
    <row r="497" spans="1:1">
      <c r="A497" s="1" t="str">
        <f>"19931317497"</f>
        <v>19931317497</v>
      </c>
    </row>
    <row r="498" spans="1:1">
      <c r="A498" s="1" t="str">
        <f>"19105681181"</f>
        <v>19105681181</v>
      </c>
    </row>
    <row r="499" spans="1:1">
      <c r="A499" s="1" t="str">
        <f>"13785654118"</f>
        <v>13785654118</v>
      </c>
    </row>
    <row r="500" spans="1:1">
      <c r="A500" s="1" t="str">
        <f>"13393385320"</f>
        <v>13393385320</v>
      </c>
    </row>
    <row r="501" spans="1:1">
      <c r="A501" s="1" t="str">
        <f>"13901300540"</f>
        <v>13901300540</v>
      </c>
    </row>
    <row r="502" spans="1:1">
      <c r="A502" s="1" t="str">
        <f>"13483319589"</f>
        <v>13483319589</v>
      </c>
    </row>
    <row r="503" spans="1:1">
      <c r="A503" s="1" t="str">
        <f>"17600058292"</f>
        <v>17600058292</v>
      </c>
    </row>
    <row r="504" spans="1:1">
      <c r="A504" s="1" t="str">
        <f>"18231789888"</f>
        <v>18231789888</v>
      </c>
    </row>
    <row r="505" spans="1:1">
      <c r="A505" s="1" t="str">
        <f>"15055644210"</f>
        <v>15055644210</v>
      </c>
    </row>
    <row r="506" spans="1:1">
      <c r="A506" s="1" t="str">
        <f>"18500201591"</f>
        <v>18500201591</v>
      </c>
    </row>
    <row r="507" spans="1:1">
      <c r="A507" s="1" t="str">
        <f>"13052852058"</f>
        <v>13052852058</v>
      </c>
    </row>
    <row r="508" spans="1:1">
      <c r="A508" s="1" t="str">
        <f>"15755871278"</f>
        <v>15755871278</v>
      </c>
    </row>
    <row r="509" spans="1:1">
      <c r="A509" s="1" t="str">
        <f>"13955805593"</f>
        <v>13955805593</v>
      </c>
    </row>
    <row r="510" spans="1:1">
      <c r="A510" s="1" t="str">
        <f>"13601123508"</f>
        <v>13601123508</v>
      </c>
    </row>
    <row r="511" spans="1:1">
      <c r="A511" s="1" t="str">
        <f>"13811080922"</f>
        <v>13811080922</v>
      </c>
    </row>
    <row r="512" spans="1:1">
      <c r="A512" s="1" t="str">
        <f>"13383366030"</f>
        <v>13383366030</v>
      </c>
    </row>
    <row r="513" spans="1:1">
      <c r="A513" s="1" t="str">
        <f>"17856737905"</f>
        <v>17856737905</v>
      </c>
    </row>
    <row r="514" spans="1:1">
      <c r="A514" s="1" t="str">
        <f>"13653160810"</f>
        <v>13653160810</v>
      </c>
    </row>
    <row r="515" spans="1:1">
      <c r="A515" s="1" t="str">
        <f>"13625589917"</f>
        <v>13625589917</v>
      </c>
    </row>
    <row r="516" spans="1:1">
      <c r="A516" s="1" t="str">
        <f>"13582665984"</f>
        <v>13582665984</v>
      </c>
    </row>
    <row r="517" spans="1:1">
      <c r="A517" s="1" t="str">
        <f>"13704296051"</f>
        <v>13704296051</v>
      </c>
    </row>
    <row r="518" spans="1:1">
      <c r="A518" s="1" t="str">
        <f>"13810054691"</f>
        <v>13810054691</v>
      </c>
    </row>
    <row r="519" spans="1:1">
      <c r="A519" s="1" t="str">
        <f>"18055842588"</f>
        <v>18055842588</v>
      </c>
    </row>
    <row r="520" spans="1:1">
      <c r="A520" s="1" t="str">
        <f>"18096733382"</f>
        <v>18096733382</v>
      </c>
    </row>
    <row r="521" spans="1:1">
      <c r="A521" s="1" t="str">
        <f>"15933063079"</f>
        <v>15933063079</v>
      </c>
    </row>
    <row r="522" spans="1:1">
      <c r="A522" s="1" t="str">
        <f>"13304291230"</f>
        <v>13304291230</v>
      </c>
    </row>
    <row r="523" spans="1:1">
      <c r="A523" s="1" t="str">
        <f>"18031677511"</f>
        <v>18031677511</v>
      </c>
    </row>
    <row r="524" spans="1:1">
      <c r="A524" s="1" t="str">
        <f>"19166116078"</f>
        <v>19166116078</v>
      </c>
    </row>
    <row r="525" spans="1:1">
      <c r="A525" s="1" t="str">
        <f>"13464508957"</f>
        <v>13464508957</v>
      </c>
    </row>
    <row r="526" spans="1:1">
      <c r="A526" s="1" t="str">
        <f>"18355873798"</f>
        <v>18355873798</v>
      </c>
    </row>
    <row r="527" spans="1:1">
      <c r="A527" s="1" t="str">
        <f>"15755884083"</f>
        <v>15755884083</v>
      </c>
    </row>
    <row r="528" spans="1:1">
      <c r="A528" s="1" t="str">
        <f>"15810782012"</f>
        <v>15810782012</v>
      </c>
    </row>
    <row r="529" spans="1:1">
      <c r="A529" s="1" t="str">
        <f>"15257882250"</f>
        <v>15257882250</v>
      </c>
    </row>
    <row r="530" spans="1:1">
      <c r="A530" s="1" t="str">
        <f>"17856868988"</f>
        <v>17856868988</v>
      </c>
    </row>
    <row r="531" spans="1:1">
      <c r="A531" s="1" t="str">
        <f>"13910179107"</f>
        <v>13910179107</v>
      </c>
    </row>
    <row r="532" spans="1:1">
      <c r="A532" s="1" t="str">
        <f>"15011501321"</f>
        <v>15011501321</v>
      </c>
    </row>
    <row r="533" spans="1:1">
      <c r="A533" s="1" t="str">
        <f>"13199590765"</f>
        <v>13199590765</v>
      </c>
    </row>
    <row r="534" spans="1:1">
      <c r="A534" s="1" t="str">
        <f>"18909685852"</f>
        <v>18909685852</v>
      </c>
    </row>
    <row r="535" spans="1:1">
      <c r="A535" s="1" t="str">
        <f>"13552471287"</f>
        <v>13552471287</v>
      </c>
    </row>
    <row r="536" spans="1:1">
      <c r="A536" s="1" t="str">
        <f>"13810262511"</f>
        <v>13810262511</v>
      </c>
    </row>
    <row r="537" spans="1:1">
      <c r="A537" s="1" t="str">
        <f>"13641249103"</f>
        <v>13641249103</v>
      </c>
    </row>
    <row r="538" spans="1:1">
      <c r="A538" s="1" t="str">
        <f>"13383162996"</f>
        <v>13383162996</v>
      </c>
    </row>
    <row r="539" spans="1:1">
      <c r="A539" s="1" t="str">
        <f>"15106602099"</f>
        <v>15106602099</v>
      </c>
    </row>
    <row r="540" spans="1:1">
      <c r="A540" s="1" t="str">
        <f>"13834296688"</f>
        <v>13834296688</v>
      </c>
    </row>
    <row r="541" spans="1:1">
      <c r="A541" s="1" t="str">
        <f>"15100366813"</f>
        <v>15100366813</v>
      </c>
    </row>
    <row r="542" spans="1:1">
      <c r="A542" s="1" t="str">
        <f>"13720027836"</f>
        <v>13720027836</v>
      </c>
    </row>
    <row r="543" spans="1:1">
      <c r="A543" s="1" t="str">
        <f>"15255866396"</f>
        <v>15255866396</v>
      </c>
    </row>
    <row r="544" spans="1:1">
      <c r="A544" s="1" t="str">
        <f>"15805587021"</f>
        <v>15805587021</v>
      </c>
    </row>
    <row r="545" spans="1:1">
      <c r="A545" s="1" t="str">
        <f>"18513585917"</f>
        <v>18513585917</v>
      </c>
    </row>
    <row r="546" spans="1:1">
      <c r="A546" s="1" t="str">
        <f>"13625581840"</f>
        <v>13625581840</v>
      </c>
    </row>
    <row r="547" spans="1:1">
      <c r="A547" s="1" t="str">
        <f>"15003856003"</f>
        <v>15003856003</v>
      </c>
    </row>
    <row r="548" spans="1:1">
      <c r="A548" s="1" t="str">
        <f>"15255788625"</f>
        <v>15255788625</v>
      </c>
    </row>
    <row r="549" spans="1:1">
      <c r="A549" s="1" t="str">
        <f>"18601128799"</f>
        <v>18601128799</v>
      </c>
    </row>
    <row r="550" spans="1:1">
      <c r="A550" s="1" t="str">
        <f>"15313164922"</f>
        <v>15313164922</v>
      </c>
    </row>
    <row r="551" spans="1:1">
      <c r="A551" s="1" t="str">
        <f>"15955855456"</f>
        <v>15955855456</v>
      </c>
    </row>
    <row r="552" spans="1:1">
      <c r="A552" s="1" t="str">
        <f>"18811393872"</f>
        <v>18811393872</v>
      </c>
    </row>
    <row r="553" spans="1:1">
      <c r="A553" s="1" t="str">
        <f>"13855807776"</f>
        <v>13855807776</v>
      </c>
    </row>
    <row r="554" spans="1:1">
      <c r="A554" s="1" t="str">
        <f>"13865876908"</f>
        <v>13865876908</v>
      </c>
    </row>
    <row r="555" spans="1:1">
      <c r="A555" s="1" t="str">
        <f>"18601128799"</f>
        <v>18601128799</v>
      </c>
    </row>
    <row r="556" spans="1:1">
      <c r="A556" s="1" t="str">
        <f>"13785595911"</f>
        <v>13785595911</v>
      </c>
    </row>
    <row r="557" spans="1:1">
      <c r="A557" s="1" t="str">
        <f>"15313181713"</f>
        <v>15313181713</v>
      </c>
    </row>
    <row r="558" spans="1:1">
      <c r="A558" s="1" t="str">
        <f>"13930785000"</f>
        <v>13930785000</v>
      </c>
    </row>
    <row r="559" spans="1:1">
      <c r="A559" s="1" t="str">
        <f>"15055842753"</f>
        <v>15055842753</v>
      </c>
    </row>
    <row r="560" spans="1:1">
      <c r="A560" s="1" t="str">
        <f>"17357300425"</f>
        <v>17357300425</v>
      </c>
    </row>
    <row r="561" spans="1:1">
      <c r="A561" s="1" t="str">
        <f>"13625583407"</f>
        <v>13625583407</v>
      </c>
    </row>
    <row r="562" spans="1:1">
      <c r="A562" s="1" t="str">
        <f>"13019974252"</f>
        <v>13019974252</v>
      </c>
    </row>
    <row r="563" spans="1:1">
      <c r="A563" s="1" t="str">
        <f>"18920637202"</f>
        <v>18920637202</v>
      </c>
    </row>
    <row r="564" spans="1:1">
      <c r="A564" s="1" t="str">
        <f>"18031781126"</f>
        <v>18031781126</v>
      </c>
    </row>
    <row r="565" spans="1:1">
      <c r="A565" s="1" t="str">
        <f>"18686852337"</f>
        <v>18686852337</v>
      </c>
    </row>
    <row r="566" spans="1:1">
      <c r="A566" s="1" t="str">
        <f>"13911755720"</f>
        <v>13911755720</v>
      </c>
    </row>
    <row r="567" spans="1:1">
      <c r="A567" s="1" t="str">
        <f>"15132666702"</f>
        <v>15132666702</v>
      </c>
    </row>
    <row r="568" spans="1:1">
      <c r="A568" s="1" t="str">
        <f>"13931605890"</f>
        <v>13931605890</v>
      </c>
    </row>
    <row r="569" spans="1:1">
      <c r="A569" s="1" t="str">
        <f>"18705681012"</f>
        <v>18705681012</v>
      </c>
    </row>
    <row r="570" spans="1:1">
      <c r="A570" s="1" t="str">
        <f>"18330696683"</f>
        <v>18330696683</v>
      </c>
    </row>
    <row r="571" spans="1:1">
      <c r="A571" s="1" t="str">
        <f>"15056822882"</f>
        <v>15056822882</v>
      </c>
    </row>
    <row r="572" spans="1:1">
      <c r="A572" s="1" t="str">
        <f>"18705583443"</f>
        <v>18705583443</v>
      </c>
    </row>
    <row r="573" spans="1:1">
      <c r="A573" s="1" t="str">
        <f>"15955871255"</f>
        <v>15955871255</v>
      </c>
    </row>
    <row r="574" spans="1:1">
      <c r="A574" s="1" t="str">
        <f>"18611560201"</f>
        <v>18611560201</v>
      </c>
    </row>
    <row r="575" spans="1:1">
      <c r="A575" s="1" t="str">
        <f>"18001199739"</f>
        <v>18001199739</v>
      </c>
    </row>
    <row r="576" spans="1:1">
      <c r="A576" s="1" t="str">
        <f>"13955890646"</f>
        <v>13955890646</v>
      </c>
    </row>
    <row r="577" spans="1:1">
      <c r="A577" s="1" t="str">
        <f>"18133224873"</f>
        <v>18133224873</v>
      </c>
    </row>
    <row r="578" spans="1:1">
      <c r="A578" s="1" t="str">
        <f>"15055548232"</f>
        <v>15055548232</v>
      </c>
    </row>
    <row r="579" spans="1:1">
      <c r="A579" s="1" t="str">
        <f>"15855844339"</f>
        <v>15855844339</v>
      </c>
    </row>
    <row r="580" spans="1:1">
      <c r="A580" s="1" t="str">
        <f>"13920418112"</f>
        <v>13920418112</v>
      </c>
    </row>
    <row r="581" spans="1:1">
      <c r="A581" s="1" t="str">
        <f>"13653162657"</f>
        <v>13653162657</v>
      </c>
    </row>
    <row r="582" spans="1:1">
      <c r="A582" s="1" t="str">
        <f>"15551469958"</f>
        <v>15551469958</v>
      </c>
    </row>
    <row r="583" spans="1:1">
      <c r="A583" s="1" t="str">
        <f>"15309666222"</f>
        <v>15309666222</v>
      </c>
    </row>
    <row r="584" spans="1:1">
      <c r="A584" s="1" t="str">
        <f>"18800138872"</f>
        <v>18800138872</v>
      </c>
    </row>
    <row r="585" spans="1:1">
      <c r="A585" s="1" t="str">
        <f>"13552460036"</f>
        <v>13552460036</v>
      </c>
    </row>
    <row r="586" spans="1:1">
      <c r="A586" s="1" t="str">
        <f>"13930659390"</f>
        <v>13930659390</v>
      </c>
    </row>
    <row r="587" spans="1:1">
      <c r="A587" s="1" t="str">
        <f>"15855667166"</f>
        <v>15855667166</v>
      </c>
    </row>
    <row r="588" spans="1:1">
      <c r="A588" s="1" t="str">
        <f>"15134282971"</f>
        <v>15134282971</v>
      </c>
    </row>
    <row r="589" spans="1:1">
      <c r="A589" s="1" t="str">
        <f>"13855878861"</f>
        <v>13855878861</v>
      </c>
    </row>
    <row r="590" spans="1:1">
      <c r="A590" s="1" t="str">
        <f>"15666661366"</f>
        <v>15666661366</v>
      </c>
    </row>
    <row r="591" spans="1:1">
      <c r="A591" s="1" t="str">
        <f>"15255892376"</f>
        <v>15255892376</v>
      </c>
    </row>
    <row r="592" spans="1:1">
      <c r="A592" s="1" t="str">
        <f>"18717910708"</f>
        <v>18717910708</v>
      </c>
    </row>
    <row r="593" spans="1:1">
      <c r="A593" s="1" t="str">
        <f>"15955819798"</f>
        <v>15955819798</v>
      </c>
    </row>
    <row r="594" spans="1:1">
      <c r="A594" s="1" t="str">
        <f>"13955806684"</f>
        <v>13955806684</v>
      </c>
    </row>
    <row r="595" spans="1:1">
      <c r="A595" s="1" t="str">
        <f>"18010961765"</f>
        <v>18010961765</v>
      </c>
    </row>
    <row r="596" spans="1:1">
      <c r="A596" s="1" t="str">
        <f>"15055504654"</f>
        <v>15055504654</v>
      </c>
    </row>
    <row r="597" spans="1:1">
      <c r="A597" s="1" t="str">
        <f>"18325998904"</f>
        <v>18325998904</v>
      </c>
    </row>
    <row r="598" spans="1:1">
      <c r="A598" s="1" t="str">
        <f>"13811411541"</f>
        <v>13811411541</v>
      </c>
    </row>
    <row r="599" spans="1:1">
      <c r="A599" s="1" t="str">
        <f>"15755625090"</f>
        <v>15755625090</v>
      </c>
    </row>
    <row r="600" spans="1:1">
      <c r="A600" s="1" t="str">
        <f>"13810674541"</f>
        <v>13810674541</v>
      </c>
    </row>
    <row r="601" spans="1:1">
      <c r="A601" s="1" t="str">
        <f>"19931746777"</f>
        <v>19931746777</v>
      </c>
    </row>
    <row r="602" spans="1:1">
      <c r="A602" s="1" t="str">
        <f>"13333177938"</f>
        <v>13333177938</v>
      </c>
    </row>
    <row r="603" spans="1:1">
      <c r="A603" s="1" t="str">
        <f>"18856820508"</f>
        <v>18856820508</v>
      </c>
    </row>
    <row r="604" spans="1:1">
      <c r="A604" s="1" t="str">
        <f>"13866211697"</f>
        <v>13866211697</v>
      </c>
    </row>
    <row r="605" spans="1:1">
      <c r="A605" s="1" t="str">
        <f>"13195487666"</f>
        <v>13195487666</v>
      </c>
    </row>
    <row r="606" spans="1:1">
      <c r="A606" s="1" t="str">
        <f>"18218412969"</f>
        <v>18218412969</v>
      </c>
    </row>
    <row r="607" spans="1:1">
      <c r="A607" s="1" t="str">
        <f>"18325053890"</f>
        <v>18325053890</v>
      </c>
    </row>
    <row r="608" spans="1:1">
      <c r="A608" s="1" t="str">
        <f>"19931033586"</f>
        <v>19931033586</v>
      </c>
    </row>
    <row r="609" spans="1:1">
      <c r="A609" s="1" t="str">
        <f>"18210987836"</f>
        <v>18210987836</v>
      </c>
    </row>
    <row r="610" spans="1:1">
      <c r="A610" s="1" t="str">
        <f>"13662077693"</f>
        <v>13662077693</v>
      </c>
    </row>
    <row r="611" spans="1:1">
      <c r="A611" s="1" t="str">
        <f>"19856827101"</f>
        <v>19856827101</v>
      </c>
    </row>
    <row r="612" spans="1:1">
      <c r="A612" s="1" t="str">
        <f>"15955897999"</f>
        <v>15955897999</v>
      </c>
    </row>
    <row r="613" spans="1:1">
      <c r="A613" s="1" t="str">
        <f>"13653261736"</f>
        <v>13653261736</v>
      </c>
    </row>
    <row r="614" spans="1:1">
      <c r="A614" s="1" t="str">
        <f>"13500457615"</f>
        <v>13500457615</v>
      </c>
    </row>
    <row r="615" spans="1:1">
      <c r="A615" s="1" t="str">
        <f>"15369642786"</f>
        <v>15369642786</v>
      </c>
    </row>
    <row r="616" spans="1:1">
      <c r="A616" s="1" t="str">
        <f>"15956806027"</f>
        <v>15956806027</v>
      </c>
    </row>
    <row r="617" spans="1:1">
      <c r="A617" s="1" t="str">
        <f>"13855824639"</f>
        <v>13855824639</v>
      </c>
    </row>
    <row r="618" spans="1:1">
      <c r="A618" s="1" t="str">
        <f>"13635687860"</f>
        <v>13635687860</v>
      </c>
    </row>
    <row r="619" spans="1:1">
      <c r="A619" s="1" t="str">
        <f>"18055832299"</f>
        <v>18055832299</v>
      </c>
    </row>
    <row r="620" spans="1:1">
      <c r="A620" s="1" t="str">
        <f>"13833507813"</f>
        <v>13833507813</v>
      </c>
    </row>
    <row r="621" spans="1:1">
      <c r="A621" s="1" t="str">
        <f>"15956806027"</f>
        <v>15956806027</v>
      </c>
    </row>
    <row r="622" spans="1:1">
      <c r="A622" s="1" t="str">
        <f>"15867038238"</f>
        <v>15867038238</v>
      </c>
    </row>
    <row r="623" spans="1:1">
      <c r="A623" s="1" t="str">
        <f>"15933697506"</f>
        <v>15933697506</v>
      </c>
    </row>
    <row r="624" spans="1:1">
      <c r="A624" s="1" t="str">
        <f>"18902023738"</f>
        <v>18902023738</v>
      </c>
    </row>
    <row r="625" spans="1:1">
      <c r="A625" s="1" t="str">
        <f>"15256896209"</f>
        <v>15256896209</v>
      </c>
    </row>
    <row r="626" spans="1:1">
      <c r="A626" s="1" t="str">
        <f>"15956877707"</f>
        <v>15956877707</v>
      </c>
    </row>
    <row r="627" spans="1:1">
      <c r="A627" s="1" t="str">
        <f>"15905581042"</f>
        <v>15905581042</v>
      </c>
    </row>
    <row r="628" spans="1:1">
      <c r="A628" s="1" t="str">
        <f>"13832699673"</f>
        <v>13832699673</v>
      </c>
    </row>
    <row r="629" spans="1:1">
      <c r="A629" s="1" t="str">
        <f>"13731619576"</f>
        <v>13731619576</v>
      </c>
    </row>
    <row r="630" spans="1:1">
      <c r="A630" s="1" t="str">
        <f>"18134660319"</f>
        <v>18134660319</v>
      </c>
    </row>
    <row r="631" spans="1:1">
      <c r="A631" s="1" t="str">
        <f>"13269069112"</f>
        <v>13269069112</v>
      </c>
    </row>
    <row r="632" spans="1:1">
      <c r="A632" s="1" t="str">
        <f>"18326831962"</f>
        <v>18326831962</v>
      </c>
    </row>
    <row r="633" spans="1:1">
      <c r="A633" s="1" t="str">
        <f>"13653372666"</f>
        <v>13653372666</v>
      </c>
    </row>
    <row r="634" spans="1:1">
      <c r="A634" s="1" t="str">
        <f>"18356856525"</f>
        <v>18356856525</v>
      </c>
    </row>
    <row r="635" spans="1:1">
      <c r="A635" s="1" t="str">
        <f>"13965733111"</f>
        <v>13965733111</v>
      </c>
    </row>
    <row r="636" spans="1:1">
      <c r="A636" s="1" t="str">
        <f>"13956756363"</f>
        <v>13956756363</v>
      </c>
    </row>
    <row r="637" spans="1:1">
      <c r="A637" s="1" t="str">
        <f>"13671156233"</f>
        <v>13671156233</v>
      </c>
    </row>
    <row r="638" spans="1:1">
      <c r="A638" s="1" t="str">
        <f>"15933641121"</f>
        <v>15933641121</v>
      </c>
    </row>
    <row r="639" spans="1:1">
      <c r="A639" s="1" t="str">
        <f>"15955870788"</f>
        <v>15955870788</v>
      </c>
    </row>
    <row r="640" spans="1:1">
      <c r="A640" s="1" t="str">
        <f>"15855866616"</f>
        <v>15855866616</v>
      </c>
    </row>
    <row r="641" spans="1:1">
      <c r="A641" s="1" t="str">
        <f>"15830611057"</f>
        <v>15830611057</v>
      </c>
    </row>
    <row r="642" spans="1:1">
      <c r="A642" s="1" t="str">
        <f>"13691354411"</f>
        <v>13691354411</v>
      </c>
    </row>
    <row r="643" spans="1:1">
      <c r="A643" s="1" t="str">
        <f>"15556838229"</f>
        <v>15556838229</v>
      </c>
    </row>
    <row r="644" spans="1:1">
      <c r="A644" s="1" t="str">
        <f>"15031604712"</f>
        <v>15031604712</v>
      </c>
    </row>
    <row r="645" spans="1:1">
      <c r="A645" s="1" t="str">
        <f>"15611850999"</f>
        <v>15611850999</v>
      </c>
    </row>
    <row r="646" spans="1:1">
      <c r="A646" s="1" t="str">
        <f>"15530738688"</f>
        <v>15530738688</v>
      </c>
    </row>
    <row r="647" spans="1:1">
      <c r="A647" s="1" t="str">
        <f>"15022762877"</f>
        <v>15022762877</v>
      </c>
    </row>
    <row r="648" spans="1:1">
      <c r="A648" s="1" t="str">
        <f>"15556838229"</f>
        <v>15556838229</v>
      </c>
    </row>
    <row r="649" spans="1:1">
      <c r="A649" s="1" t="str">
        <f>"18731619180"</f>
        <v>18731619180</v>
      </c>
    </row>
    <row r="650" spans="1:1">
      <c r="A650" s="1" t="str">
        <f>"13903163227"</f>
        <v>13903163227</v>
      </c>
    </row>
    <row r="651" spans="1:1">
      <c r="A651" s="1" t="str">
        <f>"13966544506"</f>
        <v>13966544506</v>
      </c>
    </row>
    <row r="652" spans="1:1">
      <c r="A652" s="1" t="str">
        <f>"13703163708"</f>
        <v>13703163708</v>
      </c>
    </row>
    <row r="653" spans="1:1">
      <c r="A653" s="1" t="str">
        <f>"15810781918"</f>
        <v>15810781918</v>
      </c>
    </row>
    <row r="654" spans="1:1">
      <c r="A654" s="1" t="str">
        <f>"17856153815"</f>
        <v>17856153815</v>
      </c>
    </row>
    <row r="655" spans="1:1">
      <c r="A655" s="1" t="str">
        <f>"15931610771"</f>
        <v>15931610771</v>
      </c>
    </row>
    <row r="656" spans="1:1">
      <c r="A656" s="1" t="str">
        <f>"18856859331"</f>
        <v>18856859331</v>
      </c>
    </row>
    <row r="657" spans="1:1">
      <c r="A657" s="1" t="str">
        <f>"15133729921"</f>
        <v>15133729921</v>
      </c>
    </row>
    <row r="658" spans="1:1">
      <c r="A658" s="1" t="str">
        <f>"18756002220"</f>
        <v>18756002220</v>
      </c>
    </row>
    <row r="659" spans="1:1">
      <c r="A659" s="1" t="str">
        <f>"15295128711"</f>
        <v>15295128711</v>
      </c>
    </row>
    <row r="660" spans="1:1">
      <c r="A660" s="1" t="str">
        <f>"13552165728"</f>
        <v>13552165728</v>
      </c>
    </row>
    <row r="661" spans="1:1">
      <c r="A661" s="1" t="str">
        <f>"13866296470"</f>
        <v>13866296470</v>
      </c>
    </row>
    <row r="662" spans="1:1">
      <c r="A662" s="1" t="str">
        <f>"15345589266"</f>
        <v>15345589266</v>
      </c>
    </row>
    <row r="663" spans="1:1">
      <c r="A663" s="1" t="str">
        <f>"13811174643"</f>
        <v>13811174643</v>
      </c>
    </row>
    <row r="664" spans="1:1">
      <c r="A664" s="1" t="str">
        <f>"13931678129"</f>
        <v>13931678129</v>
      </c>
    </row>
    <row r="665" spans="1:1">
      <c r="A665" s="1" t="str">
        <f>"18405583441"</f>
        <v>18405583441</v>
      </c>
    </row>
    <row r="666" spans="1:1">
      <c r="A666" s="1" t="str">
        <f>"15205681885"</f>
        <v>15205681885</v>
      </c>
    </row>
    <row r="667" spans="1:1">
      <c r="A667" s="1" t="str">
        <f>"13865865112"</f>
        <v>13865865112</v>
      </c>
    </row>
    <row r="668" spans="1:1">
      <c r="A668" s="1" t="str">
        <f>"18710065383"</f>
        <v>18710065383</v>
      </c>
    </row>
    <row r="669" spans="1:1">
      <c r="A669" s="1" t="str">
        <f>"13855871773"</f>
        <v>13855871773</v>
      </c>
    </row>
    <row r="670" spans="1:1">
      <c r="A670" s="1" t="str">
        <f>"13225681299"</f>
        <v>13225681299</v>
      </c>
    </row>
    <row r="671" spans="1:1">
      <c r="A671" s="1" t="str">
        <f>"17332686442"</f>
        <v>17332686442</v>
      </c>
    </row>
    <row r="672" spans="1:1">
      <c r="A672" s="1" t="str">
        <f>"18069297328"</f>
        <v>18069297328</v>
      </c>
    </row>
    <row r="673" spans="1:1">
      <c r="A673" s="1" t="str">
        <f>"17856175519"</f>
        <v>17856175519</v>
      </c>
    </row>
    <row r="674" spans="1:1">
      <c r="A674" s="1" t="str">
        <f>"13552409224"</f>
        <v>13552409224</v>
      </c>
    </row>
    <row r="675" spans="1:1">
      <c r="A675" s="1" t="str">
        <f>"17856584335"</f>
        <v>17856584335</v>
      </c>
    </row>
    <row r="676" spans="1:1">
      <c r="A676" s="1" t="str">
        <f>"13439809339"</f>
        <v>13439809339</v>
      </c>
    </row>
    <row r="677" spans="1:1">
      <c r="A677" s="1" t="str">
        <f>"13439215592"</f>
        <v>13439215592</v>
      </c>
    </row>
    <row r="678" spans="1:1">
      <c r="A678" s="1" t="str">
        <f>"13311317255"</f>
        <v>13311317255</v>
      </c>
    </row>
    <row r="679" spans="1:1">
      <c r="A679" s="1" t="str">
        <f>"13966545817"</f>
        <v>13966545817</v>
      </c>
    </row>
    <row r="680" spans="1:1">
      <c r="A680" s="1" t="str">
        <f>"18326881951"</f>
        <v>18326881951</v>
      </c>
    </row>
    <row r="681" spans="1:1">
      <c r="A681" s="1" t="str">
        <f>"17681055902"</f>
        <v>17681055902</v>
      </c>
    </row>
    <row r="682" spans="1:1">
      <c r="A682" s="1" t="str">
        <f>"18211109718"</f>
        <v>18211109718</v>
      </c>
    </row>
    <row r="683" spans="1:1">
      <c r="A683" s="1" t="str">
        <f>"18001190237"</f>
        <v>18001190237</v>
      </c>
    </row>
    <row r="684" spans="1:1">
      <c r="A684" s="1" t="str">
        <f>"15256809832"</f>
        <v>15256809832</v>
      </c>
    </row>
    <row r="685" spans="1:1">
      <c r="A685" s="1" t="str">
        <f>"13349108560"</f>
        <v>13349108560</v>
      </c>
    </row>
    <row r="686" spans="1:1">
      <c r="A686" s="1" t="str">
        <f>"13501053951"</f>
        <v>13501053951</v>
      </c>
    </row>
    <row r="687" spans="1:1">
      <c r="A687" s="1" t="str">
        <f>"18726553690"</f>
        <v>18726553690</v>
      </c>
    </row>
    <row r="688" spans="1:1">
      <c r="A688" s="1" t="str">
        <f>"13821756000"</f>
        <v>13821756000</v>
      </c>
    </row>
    <row r="689" spans="1:1">
      <c r="A689" s="1" t="str">
        <f>"13814853247"</f>
        <v>13814853247</v>
      </c>
    </row>
    <row r="690" spans="1:1">
      <c r="A690" s="1" t="str">
        <f>"15555808508"</f>
        <v>15555808508</v>
      </c>
    </row>
    <row r="691" spans="1:1">
      <c r="A691" s="1" t="str">
        <f>"13865856737"</f>
        <v>13865856737</v>
      </c>
    </row>
    <row r="692" spans="1:1">
      <c r="A692" s="1" t="str">
        <f>"18618108982"</f>
        <v>18618108982</v>
      </c>
    </row>
    <row r="693" spans="1:1">
      <c r="A693" s="1" t="str">
        <f>"13520825650"</f>
        <v>13520825650</v>
      </c>
    </row>
    <row r="694" spans="1:1">
      <c r="A694" s="1" t="str">
        <f>"13321169155"</f>
        <v>13321169155</v>
      </c>
    </row>
    <row r="695" spans="1:1">
      <c r="A695" s="1" t="str">
        <f>"15801000874"</f>
        <v>15801000874</v>
      </c>
    </row>
    <row r="696" spans="1:1">
      <c r="A696" s="1" t="str">
        <f>"13965730817"</f>
        <v>13965730817</v>
      </c>
    </row>
    <row r="697" spans="1:1">
      <c r="A697" s="1" t="str">
        <f>"15373229878"</f>
        <v>15373229878</v>
      </c>
    </row>
    <row r="698" spans="1:1">
      <c r="A698" s="1" t="str">
        <f>"15855482849"</f>
        <v>15855482849</v>
      </c>
    </row>
    <row r="699" spans="1:1">
      <c r="A699" s="1" t="str">
        <f>"18226266705"</f>
        <v>18226266705</v>
      </c>
    </row>
    <row r="700" spans="1:1">
      <c r="A700" s="1" t="str">
        <f>"15131111221"</f>
        <v>15131111221</v>
      </c>
    </row>
    <row r="701" spans="1:1">
      <c r="A701" s="1" t="str">
        <f>"15156848708"</f>
        <v>15156848708</v>
      </c>
    </row>
    <row r="702" spans="1:1">
      <c r="A702" s="1" t="str">
        <f>"13956814486"</f>
        <v>13956814486</v>
      </c>
    </row>
    <row r="703" spans="1:1">
      <c r="A703" s="1" t="str">
        <f>"15097622275"</f>
        <v>15097622275</v>
      </c>
    </row>
    <row r="704" spans="1:1">
      <c r="A704" s="1" t="str">
        <f>"17734065981"</f>
        <v>17734065981</v>
      </c>
    </row>
    <row r="705" spans="1:1">
      <c r="A705" s="1" t="str">
        <f>"13552554206"</f>
        <v>13552554206</v>
      </c>
    </row>
    <row r="706" spans="1:1">
      <c r="A706" s="1" t="str">
        <f>"13705586068"</f>
        <v>13705586068</v>
      </c>
    </row>
    <row r="707" spans="1:1">
      <c r="A707" s="1" t="str">
        <f>"18032609937"</f>
        <v>18032609937</v>
      </c>
    </row>
    <row r="708" spans="1:1">
      <c r="A708" s="1" t="str">
        <f>"15555808605"</f>
        <v>15555808605</v>
      </c>
    </row>
    <row r="709" spans="1:1">
      <c r="A709" s="1" t="str">
        <f>"15155808780"</f>
        <v>15155808780</v>
      </c>
    </row>
    <row r="710" spans="1:1">
      <c r="A710" s="1" t="str">
        <f>"13473661999"</f>
        <v>13473661999</v>
      </c>
    </row>
    <row r="711" spans="1:1">
      <c r="A711" s="1" t="str">
        <f>"15947761650"</f>
        <v>15947761650</v>
      </c>
    </row>
    <row r="712" spans="1:1">
      <c r="A712" s="1" t="str">
        <f>"15856845791"</f>
        <v>15856845791</v>
      </c>
    </row>
    <row r="713" spans="1:1">
      <c r="A713" s="1" t="str">
        <f>"18705688260"</f>
        <v>18705688260</v>
      </c>
    </row>
    <row r="714" spans="1:1">
      <c r="A714" s="1" t="str">
        <f>"13732655233"</f>
        <v>13732655233</v>
      </c>
    </row>
    <row r="715" spans="1:1">
      <c r="A715" s="1" t="str">
        <f>"13833265359"</f>
        <v>13833265359</v>
      </c>
    </row>
    <row r="716" spans="1:1">
      <c r="A716" s="1" t="str">
        <f>"13501121825"</f>
        <v>13501121825</v>
      </c>
    </row>
    <row r="717" spans="1:1">
      <c r="A717" s="1" t="str">
        <f>"18226267272"</f>
        <v>18226267272</v>
      </c>
    </row>
    <row r="718" spans="1:1">
      <c r="A718" s="1" t="str">
        <f>"15003361057"</f>
        <v>15003361057</v>
      </c>
    </row>
    <row r="719" spans="1:1">
      <c r="A719" s="1" t="str">
        <f>"15333242455"</f>
        <v>15333242455</v>
      </c>
    </row>
    <row r="720" spans="1:1">
      <c r="A720" s="1" t="str">
        <f>"15256880968"</f>
        <v>15256880968</v>
      </c>
    </row>
    <row r="721" spans="1:1">
      <c r="A721" s="1" t="str">
        <f>"18715587275"</f>
        <v>18715587275</v>
      </c>
    </row>
    <row r="722" spans="1:1">
      <c r="A722" s="1" t="str">
        <f>"18612215177"</f>
        <v>18612215177</v>
      </c>
    </row>
    <row r="723" spans="1:1">
      <c r="A723" s="1" t="str">
        <f>"15227560426"</f>
        <v>15227560426</v>
      </c>
    </row>
    <row r="724" spans="1:1">
      <c r="A724" s="1" t="str">
        <f>"19931698821"</f>
        <v>19931698821</v>
      </c>
    </row>
    <row r="725" spans="1:1">
      <c r="A725" s="1" t="str">
        <f>"18601336029"</f>
        <v>18601336029</v>
      </c>
    </row>
    <row r="726" spans="1:1">
      <c r="A726" s="1" t="str">
        <f>"15297320652"</f>
        <v>15297320652</v>
      </c>
    </row>
    <row r="727" spans="1:1">
      <c r="A727" s="1" t="str">
        <f>"13816760043"</f>
        <v>13816760043</v>
      </c>
    </row>
    <row r="728" spans="1:1">
      <c r="A728" s="1" t="str">
        <f>"18712659855"</f>
        <v>18712659855</v>
      </c>
    </row>
    <row r="729" spans="1:1">
      <c r="A729" s="1" t="str">
        <f>"17731650156"</f>
        <v>17731650156</v>
      </c>
    </row>
    <row r="730" spans="1:1">
      <c r="A730" s="1" t="str">
        <f>"13701168560"</f>
        <v>13701168560</v>
      </c>
    </row>
    <row r="731" spans="1:1">
      <c r="A731" s="1" t="str">
        <f>"13466600068"</f>
        <v>13466600068</v>
      </c>
    </row>
    <row r="732" spans="1:1">
      <c r="A732" s="1" t="str">
        <f>"13966567836"</f>
        <v>13966567836</v>
      </c>
    </row>
    <row r="733" spans="1:1">
      <c r="A733" s="1" t="str">
        <f>"13625587470"</f>
        <v>13625587470</v>
      </c>
    </row>
    <row r="734" spans="1:1">
      <c r="A734" s="1" t="str">
        <f>"15255886271"</f>
        <v>15255886271</v>
      </c>
    </row>
    <row r="735" spans="1:1">
      <c r="A735" s="1" t="str">
        <f>"15855588729"</f>
        <v>15855588729</v>
      </c>
    </row>
    <row r="736" spans="1:1">
      <c r="A736" s="1" t="str">
        <f>"18298193928"</f>
        <v>18298193928</v>
      </c>
    </row>
    <row r="737" spans="1:1">
      <c r="A737" s="1" t="str">
        <f>"13865867884"</f>
        <v>13865867884</v>
      </c>
    </row>
    <row r="738" spans="1:1">
      <c r="A738" s="1" t="str">
        <f>"13705587177"</f>
        <v>13705587177</v>
      </c>
    </row>
    <row r="739" spans="1:1">
      <c r="A739" s="1" t="str">
        <f>"13156706606"</f>
        <v>13156706606</v>
      </c>
    </row>
    <row r="740" spans="1:1">
      <c r="A740" s="1" t="str">
        <f>"13205587091"</f>
        <v>13205587091</v>
      </c>
    </row>
    <row r="741" spans="1:1">
      <c r="A741" s="1" t="str">
        <f>"13605589320"</f>
        <v>13605589320</v>
      </c>
    </row>
    <row r="742" spans="1:1">
      <c r="A742" s="1" t="str">
        <f>"13955800540"</f>
        <v>13955800540</v>
      </c>
    </row>
    <row r="743" spans="1:1">
      <c r="A743" s="1" t="str">
        <f>"15555881118"</f>
        <v>15555881118</v>
      </c>
    </row>
    <row r="744" spans="1:1">
      <c r="A744" s="1" t="str">
        <f>"15215586660"</f>
        <v>15215586660</v>
      </c>
    </row>
    <row r="745" spans="1:1">
      <c r="A745" s="1" t="str">
        <f>"13855833881"</f>
        <v>13855833881</v>
      </c>
    </row>
    <row r="746" spans="1:1">
      <c r="A746" s="1" t="str">
        <f>"15256809800"</f>
        <v>15256809800</v>
      </c>
    </row>
    <row r="747" spans="1:1">
      <c r="A747" s="1" t="str">
        <f>"15868453780"</f>
        <v>15868453780</v>
      </c>
    </row>
    <row r="748" spans="1:1">
      <c r="A748" s="1" t="str">
        <f>"13575459806"</f>
        <v>13575459806</v>
      </c>
    </row>
    <row r="749" spans="1:1">
      <c r="A749" s="1" t="str">
        <f>"18949008228"</f>
        <v>18949008228</v>
      </c>
    </row>
    <row r="750" spans="1:1">
      <c r="A750" s="1" t="str">
        <f>"18726550255"</f>
        <v>18726550255</v>
      </c>
    </row>
    <row r="751" spans="1:1">
      <c r="A751" s="1" t="str">
        <f>"18667020276"</f>
        <v>18667020276</v>
      </c>
    </row>
    <row r="752" spans="1:1">
      <c r="A752" s="1" t="str">
        <f>"13866266725"</f>
        <v>13866266725</v>
      </c>
    </row>
    <row r="753" spans="1:1">
      <c r="A753" s="1" t="str">
        <f>"18582330901"</f>
        <v>18582330901</v>
      </c>
    </row>
    <row r="754" spans="1:1">
      <c r="A754" s="1" t="str">
        <f>"13363650313"</f>
        <v>13363650313</v>
      </c>
    </row>
    <row r="755" spans="1:1">
      <c r="A755" s="1" t="str">
        <f>"15357685579"</f>
        <v>15357685579</v>
      </c>
    </row>
    <row r="756" spans="1:1">
      <c r="A756" s="1" t="str">
        <f>"13312152807"</f>
        <v>13312152807</v>
      </c>
    </row>
    <row r="757" spans="1:1">
      <c r="A757" s="1" t="str">
        <f>"18310776593"</f>
        <v>18310776593</v>
      </c>
    </row>
    <row r="758" spans="1:1">
      <c r="A758" s="1" t="str">
        <f>"18892265653"</f>
        <v>18892265653</v>
      </c>
    </row>
    <row r="759" spans="1:1">
      <c r="A759" s="1" t="str">
        <f>"13811215361"</f>
        <v>13811215361</v>
      </c>
    </row>
    <row r="760" spans="1:1">
      <c r="A760" s="1" t="str">
        <f>"13920269718"</f>
        <v>13920269718</v>
      </c>
    </row>
    <row r="761" spans="1:1">
      <c r="A761" s="1" t="str">
        <f>"17301186056"</f>
        <v>17301186056</v>
      </c>
    </row>
    <row r="762" spans="1:1">
      <c r="A762" s="1" t="str">
        <f>"18632698948"</f>
        <v>18632698948</v>
      </c>
    </row>
    <row r="763" spans="1:1">
      <c r="A763" s="1" t="str">
        <f>"18331287654"</f>
        <v>18331287654</v>
      </c>
    </row>
    <row r="764" spans="1:1">
      <c r="A764" s="1" t="str">
        <f>"13513162104"</f>
        <v>13513162104</v>
      </c>
    </row>
    <row r="765" spans="1:1">
      <c r="A765" s="1" t="str">
        <f>"13820385842"</f>
        <v>13820385842</v>
      </c>
    </row>
    <row r="766" spans="1:1">
      <c r="A766" s="1" t="str">
        <f>"18847632236"</f>
        <v>18847632236</v>
      </c>
    </row>
    <row r="767" spans="1:1">
      <c r="A767" s="1" t="str">
        <f>"13966847623"</f>
        <v>13966847623</v>
      </c>
    </row>
    <row r="768" spans="1:1">
      <c r="A768" s="1" t="str">
        <f>"13273618562"</f>
        <v>13273618562</v>
      </c>
    </row>
    <row r="769" spans="1:1">
      <c r="A769" s="1" t="str">
        <f>"18855830309"</f>
        <v>18855830309</v>
      </c>
    </row>
    <row r="770" spans="1:1">
      <c r="A770" s="1" t="str">
        <f>"13167396606"</f>
        <v>13167396606</v>
      </c>
    </row>
    <row r="771" spans="1:1">
      <c r="A771" s="1" t="str">
        <f>"13513264272"</f>
        <v>13513264272</v>
      </c>
    </row>
    <row r="772" spans="1:1">
      <c r="A772" s="1" t="str">
        <f>"13752010743"</f>
        <v>13752010743</v>
      </c>
    </row>
    <row r="773" spans="1:1">
      <c r="A773" s="1" t="str">
        <f>"15831479098"</f>
        <v>15831479098</v>
      </c>
    </row>
    <row r="774" spans="1:1">
      <c r="A774" s="1" t="str">
        <f>"13503263088"</f>
        <v>13503263088</v>
      </c>
    </row>
    <row r="775" spans="1:1">
      <c r="A775" s="1" t="str">
        <f>"13513399305"</f>
        <v>13513399305</v>
      </c>
    </row>
    <row r="776" spans="1:1">
      <c r="A776" s="1" t="str">
        <f>"18713262618"</f>
        <v>18713262618</v>
      </c>
    </row>
    <row r="777" spans="1:1">
      <c r="A777" s="1" t="str">
        <f>"15955857106"</f>
        <v>15955857106</v>
      </c>
    </row>
    <row r="778" spans="1:1">
      <c r="A778" s="1" t="str">
        <f>"17702212543"</f>
        <v>17702212543</v>
      </c>
    </row>
    <row r="779" spans="1:1">
      <c r="A779" s="1" t="str">
        <f>"18856891047"</f>
        <v>18856891047</v>
      </c>
    </row>
    <row r="780" spans="1:1">
      <c r="A780" s="1" t="str">
        <f>"17701279522"</f>
        <v>17701279522</v>
      </c>
    </row>
    <row r="781" spans="1:1">
      <c r="A781" s="1" t="str">
        <f>"13521316158"</f>
        <v>13521316158</v>
      </c>
    </row>
    <row r="782" spans="1:1">
      <c r="A782" s="1" t="str">
        <f>"13752176283"</f>
        <v>13752176283</v>
      </c>
    </row>
    <row r="783" spans="1:1">
      <c r="A783" s="1" t="str">
        <f>"18932615965"</f>
        <v>18932615965</v>
      </c>
    </row>
    <row r="784" spans="1:1">
      <c r="A784" s="1" t="str">
        <f>"15831680660"</f>
        <v>15831680660</v>
      </c>
    </row>
    <row r="785" spans="1:1">
      <c r="A785" s="1" t="str">
        <f>"13502022414"</f>
        <v>13502022414</v>
      </c>
    </row>
    <row r="786" spans="1:1">
      <c r="A786" s="1" t="str">
        <f>"13653268355"</f>
        <v>13653268355</v>
      </c>
    </row>
    <row r="787" spans="1:1">
      <c r="A787" s="1" t="str">
        <f>"18515093138"</f>
        <v>18515093138</v>
      </c>
    </row>
    <row r="788" spans="1:1">
      <c r="A788" s="1" t="str">
        <f>"17746584063"</f>
        <v>17746584063</v>
      </c>
    </row>
    <row r="789" spans="1:1">
      <c r="A789" s="1" t="str">
        <f>"13832633208"</f>
        <v>13832633208</v>
      </c>
    </row>
    <row r="790" spans="1:1">
      <c r="A790" s="1" t="str">
        <f>"18803368168"</f>
        <v>18803368168</v>
      </c>
    </row>
    <row r="791" spans="1:1">
      <c r="A791" s="1" t="str">
        <f>"15955892586"</f>
        <v>15955892586</v>
      </c>
    </row>
    <row r="792" spans="1:1">
      <c r="A792" s="1" t="str">
        <f>"15995774131"</f>
        <v>15995774131</v>
      </c>
    </row>
    <row r="793" spans="1:1">
      <c r="A793" s="1" t="str">
        <f>"18655817791"</f>
        <v>18655817791</v>
      </c>
    </row>
    <row r="794" spans="1:1">
      <c r="A794" s="1" t="str">
        <f>"15255866631"</f>
        <v>15255866631</v>
      </c>
    </row>
    <row r="795" spans="1:1">
      <c r="A795" s="1" t="str">
        <f>"13911845434"</f>
        <v>13911845434</v>
      </c>
    </row>
    <row r="796" spans="1:1">
      <c r="A796" s="1" t="str">
        <f>"18096766986"</f>
        <v>18096766986</v>
      </c>
    </row>
    <row r="797" spans="1:1">
      <c r="A797" s="1" t="str">
        <f>"13956689140"</f>
        <v>13956689140</v>
      </c>
    </row>
    <row r="798" spans="1:1">
      <c r="A798" s="1" t="str">
        <f>"18055876879"</f>
        <v>18055876879</v>
      </c>
    </row>
    <row r="799" spans="1:1">
      <c r="A799" s="1" t="str">
        <f>"15055552680"</f>
        <v>15055552680</v>
      </c>
    </row>
    <row r="800" spans="1:1">
      <c r="A800" s="1" t="str">
        <f>"15155819891"</f>
        <v>15155819891</v>
      </c>
    </row>
    <row r="801" spans="1:1">
      <c r="A801" s="1" t="str">
        <f>"13855801790"</f>
        <v>13855801790</v>
      </c>
    </row>
    <row r="802" spans="1:1">
      <c r="A802" s="1" t="str">
        <f>"13965586400"</f>
        <v>13965586400</v>
      </c>
    </row>
    <row r="803" spans="1:1">
      <c r="A803" s="1" t="str">
        <f>"15055885125"</f>
        <v>15055885125</v>
      </c>
    </row>
    <row r="804" spans="1:1">
      <c r="A804" s="1" t="str">
        <f>"15522447717"</f>
        <v>15522447717</v>
      </c>
    </row>
    <row r="805" spans="1:1">
      <c r="A805" s="1" t="str">
        <f>"15522447717"</f>
        <v>15522447717</v>
      </c>
    </row>
    <row r="806" spans="1:1">
      <c r="A806" s="1" t="str">
        <f>"15955811445"</f>
        <v>15955811445</v>
      </c>
    </row>
    <row r="807" spans="1:1">
      <c r="A807" s="1" t="str">
        <f>"18758595705"</f>
        <v>18758595705</v>
      </c>
    </row>
    <row r="808" spans="1:1">
      <c r="A808" s="1" t="str">
        <f>"15215587208"</f>
        <v>15215587208</v>
      </c>
    </row>
    <row r="809" spans="1:1">
      <c r="A809" s="1" t="str">
        <f>"18096480833"</f>
        <v>18096480833</v>
      </c>
    </row>
    <row r="810" spans="1:1">
      <c r="A810" s="1" t="str">
        <f>"15755883291"</f>
        <v>15755883291</v>
      </c>
    </row>
    <row r="811" spans="1:1">
      <c r="A811" s="1" t="str">
        <f>"13339222279"</f>
        <v>13339222279</v>
      </c>
    </row>
    <row r="812" spans="1:1">
      <c r="A812" s="1" t="str">
        <f>"18110556393"</f>
        <v>18110556393</v>
      </c>
    </row>
    <row r="813" spans="1:1">
      <c r="A813" s="1" t="str">
        <f>"15256887839"</f>
        <v>15256887839</v>
      </c>
    </row>
    <row r="814" spans="1:1">
      <c r="A814" s="1" t="str">
        <f>"18226372512"</f>
        <v>18226372512</v>
      </c>
    </row>
    <row r="815" spans="1:1">
      <c r="A815" s="1" t="str">
        <f>"18026273680"</f>
        <v>18026273680</v>
      </c>
    </row>
    <row r="816" spans="1:1">
      <c r="A816" s="1" t="str">
        <f>"18715586665"</f>
        <v>18715586665</v>
      </c>
    </row>
    <row r="817" spans="1:1">
      <c r="A817" s="1" t="str">
        <f>"15105685628"</f>
        <v>15105685628</v>
      </c>
    </row>
    <row r="818" spans="1:1">
      <c r="A818" s="1" t="str">
        <f>"15855807734"</f>
        <v>15855807734</v>
      </c>
    </row>
    <row r="819" spans="1:1">
      <c r="A819" s="1" t="str">
        <f>"19965833600"</f>
        <v>19965833600</v>
      </c>
    </row>
    <row r="820" spans="1:1">
      <c r="A820" s="1" t="str">
        <f>"13966822929"</f>
        <v>13966822929</v>
      </c>
    </row>
    <row r="821" spans="1:1">
      <c r="A821" s="1" t="str">
        <f>"13965571865"</f>
        <v>13965571865</v>
      </c>
    </row>
    <row r="822" spans="1:1">
      <c r="A822" s="1" t="str">
        <f>"13855894313"</f>
        <v>13855894313</v>
      </c>
    </row>
    <row r="823" spans="1:1">
      <c r="A823" s="1" t="str">
        <f>"13855830673"</f>
        <v>13855830673</v>
      </c>
    </row>
    <row r="824" spans="1:1">
      <c r="A824" s="1" t="str">
        <f>"13855892094"</f>
        <v>13855892094</v>
      </c>
    </row>
    <row r="825" spans="1:1">
      <c r="A825" s="1" t="str">
        <f>"15858831044"</f>
        <v>15858831044</v>
      </c>
    </row>
    <row r="826" spans="1:1">
      <c r="A826" s="1" t="str">
        <f>"13966837056"</f>
        <v>13966837056</v>
      </c>
    </row>
    <row r="827" spans="1:1">
      <c r="A827" s="1" t="str">
        <f>"15256858890"</f>
        <v>15256858890</v>
      </c>
    </row>
    <row r="828" spans="1:1">
      <c r="A828" s="1" t="str">
        <f>"15856782028"</f>
        <v>15856782028</v>
      </c>
    </row>
    <row r="829" spans="1:1">
      <c r="A829" s="1" t="str">
        <f>"18844978198"</f>
        <v>18844978198</v>
      </c>
    </row>
    <row r="830" spans="1:1">
      <c r="A830" s="1" t="str">
        <f>"15855541118"</f>
        <v>15855541118</v>
      </c>
    </row>
    <row r="831" spans="1:1">
      <c r="A831" s="1" t="str">
        <f>"19356803406"</f>
        <v>19356803406</v>
      </c>
    </row>
    <row r="832" spans="1:1">
      <c r="A832" s="1" t="str">
        <f>"13355709813"</f>
        <v>13355709813</v>
      </c>
    </row>
    <row r="833" spans="1:1">
      <c r="A833" s="1" t="str">
        <f>"18298114321"</f>
        <v>18298114321</v>
      </c>
    </row>
    <row r="834" spans="1:1">
      <c r="A834" s="1" t="str">
        <f>"13132002927"</f>
        <v>13132002927</v>
      </c>
    </row>
    <row r="835" spans="1:1">
      <c r="A835" s="1" t="str">
        <f>"13515571752"</f>
        <v>13515571752</v>
      </c>
    </row>
    <row r="836" spans="1:1">
      <c r="A836" s="1" t="str">
        <f>"13764745340"</f>
        <v>13764745340</v>
      </c>
    </row>
    <row r="837" spans="1:1">
      <c r="A837" s="1" t="str">
        <f>"18130795793"</f>
        <v>18130795793</v>
      </c>
    </row>
    <row r="838" spans="1:1">
      <c r="A838" s="1" t="str">
        <f>"15256841986"</f>
        <v>15256841986</v>
      </c>
    </row>
    <row r="839" spans="1:1">
      <c r="A839" s="1" t="str">
        <f>"18832617688"</f>
        <v>18832617688</v>
      </c>
    </row>
    <row r="840" spans="1:1">
      <c r="A840" s="1" t="str">
        <f>"18755801481"</f>
        <v>18755801481</v>
      </c>
    </row>
    <row r="841" spans="1:1">
      <c r="A841" s="1" t="str">
        <f>"18256872206"</f>
        <v>18256872206</v>
      </c>
    </row>
    <row r="842" spans="1:1">
      <c r="A842" s="1" t="str">
        <f>"13936492422"</f>
        <v>13936492422</v>
      </c>
    </row>
    <row r="843" spans="1:1">
      <c r="A843" s="1" t="str">
        <f>"13936492422"</f>
        <v>13936492422</v>
      </c>
    </row>
    <row r="844" spans="1:1">
      <c r="A844" s="1" t="str">
        <f>"15930665810"</f>
        <v>15930665810</v>
      </c>
    </row>
    <row r="845" spans="1:1">
      <c r="A845" s="1" t="str">
        <f>"18033655216"</f>
        <v>18033655216</v>
      </c>
    </row>
    <row r="846" spans="1:1">
      <c r="A846" s="1" t="str">
        <f>"13752341286"</f>
        <v>13752341286</v>
      </c>
    </row>
    <row r="847" spans="1:1">
      <c r="A847" s="1" t="str">
        <f>"13582774457"</f>
        <v>13582774457</v>
      </c>
    </row>
    <row r="848" spans="1:1">
      <c r="A848" s="1" t="str">
        <f>"13473629906"</f>
        <v>13473629906</v>
      </c>
    </row>
    <row r="849" spans="1:1">
      <c r="A849" s="1" t="str">
        <f>"18004703339"</f>
        <v>18004703339</v>
      </c>
    </row>
    <row r="850" spans="1:1">
      <c r="A850" s="1" t="str">
        <f>"13902133145"</f>
        <v>13902133145</v>
      </c>
    </row>
    <row r="851" spans="1:1">
      <c r="A851" s="1" t="str">
        <f>"17610210719"</f>
        <v>17610210719</v>
      </c>
    </row>
    <row r="852" spans="1:1">
      <c r="A852" s="1" t="str">
        <f>"13966567542"</f>
        <v>13966567542</v>
      </c>
    </row>
    <row r="853" spans="1:1">
      <c r="A853" s="1" t="str">
        <f>"14792709743"</f>
        <v>14792709743</v>
      </c>
    </row>
    <row r="854" spans="1:1">
      <c r="A854" s="1" t="str">
        <f>"13784820808"</f>
        <v>13784820808</v>
      </c>
    </row>
    <row r="855" spans="1:1">
      <c r="A855" s="1" t="str">
        <f>"13931689185"</f>
        <v>13931689185</v>
      </c>
    </row>
    <row r="856" spans="1:1">
      <c r="A856" s="1" t="str">
        <f>"15856787756"</f>
        <v>15856787756</v>
      </c>
    </row>
    <row r="857" spans="1:1">
      <c r="A857" s="1" t="str">
        <f>"13032020923"</f>
        <v>13032020923</v>
      </c>
    </row>
    <row r="858" spans="1:1">
      <c r="A858" s="1" t="str">
        <f>"15901898978"</f>
        <v>15901898978</v>
      </c>
    </row>
    <row r="859" spans="1:1">
      <c r="A859" s="1" t="str">
        <f>"13965562955"</f>
        <v>13965562955</v>
      </c>
    </row>
    <row r="860" spans="1:1">
      <c r="A860" s="1" t="str">
        <f>"15210532221"</f>
        <v>15210532221</v>
      </c>
    </row>
    <row r="861" spans="1:1">
      <c r="A861" s="1" t="str">
        <f>"15931645677"</f>
        <v>15931645677</v>
      </c>
    </row>
    <row r="862" spans="1:1">
      <c r="A862" s="1" t="str">
        <f>"15127689790"</f>
        <v>15127689790</v>
      </c>
    </row>
    <row r="863" spans="1:1">
      <c r="A863" s="1" t="str">
        <f>"15855826177"</f>
        <v>15855826177</v>
      </c>
    </row>
    <row r="864" spans="1:1">
      <c r="A864" s="1" t="str">
        <f>"18010995755"</f>
        <v>18010995755</v>
      </c>
    </row>
    <row r="865" spans="1:1">
      <c r="A865" s="1" t="str">
        <f>"18734086889"</f>
        <v>18734086889</v>
      </c>
    </row>
    <row r="866" spans="1:1">
      <c r="A866" s="1" t="str">
        <f>"13931642770"</f>
        <v>13931642770</v>
      </c>
    </row>
    <row r="867" spans="1:1">
      <c r="A867" s="1" t="str">
        <f>"15930648339"</f>
        <v>15930648339</v>
      </c>
    </row>
    <row r="868" spans="1:1">
      <c r="A868" s="1" t="str">
        <f>"15530672291"</f>
        <v>15530672291</v>
      </c>
    </row>
    <row r="869" spans="1:1">
      <c r="A869" s="1" t="str">
        <f>"15201906665"</f>
        <v>15201906665</v>
      </c>
    </row>
    <row r="870" spans="1:1">
      <c r="A870" s="1" t="str">
        <f>"13865862932"</f>
        <v>13865862932</v>
      </c>
    </row>
    <row r="871" spans="1:1">
      <c r="A871" s="1" t="str">
        <f>"18632625779"</f>
        <v>18632625779</v>
      </c>
    </row>
    <row r="872" spans="1:1">
      <c r="A872" s="1" t="str">
        <f>"15605687167"</f>
        <v>15605687167</v>
      </c>
    </row>
    <row r="873" spans="1:1">
      <c r="A873" s="1" t="str">
        <f>"13955895698"</f>
        <v>13955895698</v>
      </c>
    </row>
    <row r="874" spans="1:1">
      <c r="A874" s="1" t="str">
        <f>"13857830877"</f>
        <v>13857830877</v>
      </c>
    </row>
    <row r="875" spans="1:1">
      <c r="A875" s="1" t="str">
        <f>"18231628111"</f>
        <v>18231628111</v>
      </c>
    </row>
    <row r="876" spans="1:1">
      <c r="A876" s="1" t="str">
        <f>"15381589795"</f>
        <v>15381589795</v>
      </c>
    </row>
    <row r="877" spans="1:1">
      <c r="A877" s="1" t="str">
        <f>"15805584914"</f>
        <v>15805584914</v>
      </c>
    </row>
    <row r="878" spans="1:1">
      <c r="A878" s="1" t="str">
        <f>"13066280858"</f>
        <v>13066280858</v>
      </c>
    </row>
    <row r="879" spans="1:1">
      <c r="A879" s="1" t="str">
        <f>"15831620555"</f>
        <v>15831620555</v>
      </c>
    </row>
    <row r="880" spans="1:1">
      <c r="A880" s="1" t="str">
        <f>"17602629297"</f>
        <v>17602629297</v>
      </c>
    </row>
    <row r="881" spans="1:1">
      <c r="A881" s="1" t="str">
        <f>"18533613223"</f>
        <v>18533613223</v>
      </c>
    </row>
    <row r="882" spans="1:1">
      <c r="A882" s="1" t="str">
        <f>"15755868221"</f>
        <v>15755868221</v>
      </c>
    </row>
    <row r="883" spans="1:1">
      <c r="A883" s="1" t="str">
        <f>"13473655722"</f>
        <v>13473655722</v>
      </c>
    </row>
    <row r="884" spans="1:1">
      <c r="A884" s="1" t="str">
        <f>"13865858899"</f>
        <v>13865858899</v>
      </c>
    </row>
    <row r="885" spans="1:1">
      <c r="A885" s="1" t="str">
        <f>"15075676592"</f>
        <v>15075676592</v>
      </c>
    </row>
    <row r="886" spans="1:1">
      <c r="A886" s="1" t="str">
        <f>"13865858323"</f>
        <v>13865858323</v>
      </c>
    </row>
    <row r="887" spans="1:1">
      <c r="A887" s="1" t="str">
        <f>"15805584656"</f>
        <v>15805584656</v>
      </c>
    </row>
    <row r="888" spans="1:1">
      <c r="A888" s="1" t="str">
        <f>"15811121660"</f>
        <v>15811121660</v>
      </c>
    </row>
    <row r="889" spans="1:1">
      <c r="A889" s="1" t="str">
        <f>"15931600567"</f>
        <v>15931600567</v>
      </c>
    </row>
    <row r="890" spans="1:1">
      <c r="A890" s="1" t="str">
        <f>"13956684680"</f>
        <v>13956684680</v>
      </c>
    </row>
    <row r="891" spans="1:1">
      <c r="A891" s="1" t="str">
        <f>"18662666969"</f>
        <v>18662666969</v>
      </c>
    </row>
    <row r="892" spans="1:1">
      <c r="A892" s="1" t="str">
        <f>"15391750089"</f>
        <v>15391750089</v>
      </c>
    </row>
    <row r="893" spans="1:1">
      <c r="A893" s="1" t="str">
        <f>"13903165800"</f>
        <v>13903165800</v>
      </c>
    </row>
    <row r="894" spans="1:1">
      <c r="A894" s="1" t="str">
        <f>"13705587935"</f>
        <v>13705587935</v>
      </c>
    </row>
    <row r="895" spans="1:1">
      <c r="A895" s="1" t="str">
        <f>"15262418927"</f>
        <v>15262418927</v>
      </c>
    </row>
    <row r="896" spans="1:1">
      <c r="A896" s="1" t="str">
        <f>"13831670036"</f>
        <v>13831670036</v>
      </c>
    </row>
    <row r="897" spans="1:1">
      <c r="A897" s="1" t="str">
        <f>"19801299312"</f>
        <v>19801299312</v>
      </c>
    </row>
    <row r="898" spans="1:1">
      <c r="A898" s="1" t="str">
        <f>"15831677164"</f>
        <v>15831677164</v>
      </c>
    </row>
    <row r="899" spans="1:1">
      <c r="A899" s="1" t="str">
        <f>"18505585999"</f>
        <v>18505585999</v>
      </c>
    </row>
    <row r="900" spans="1:1">
      <c r="A900" s="1" t="str">
        <f>"15005587489"</f>
        <v>15005587489</v>
      </c>
    </row>
    <row r="901" spans="1:1">
      <c r="A901" s="1" t="str">
        <f>"15350681620"</f>
        <v>15350681620</v>
      </c>
    </row>
    <row r="902" spans="1:1">
      <c r="A902" s="1" t="str">
        <f>"15042994298"</f>
        <v>15042994298</v>
      </c>
    </row>
    <row r="903" spans="1:1">
      <c r="A903" s="1" t="str">
        <f>"13955896812"</f>
        <v>13955896812</v>
      </c>
    </row>
    <row r="904" spans="1:1">
      <c r="A904" s="1" t="str">
        <f>"18156866522"</f>
        <v>18156866522</v>
      </c>
    </row>
    <row r="905" spans="1:1">
      <c r="A905" s="1" t="str">
        <f>"15900349414"</f>
        <v>15900349414</v>
      </c>
    </row>
    <row r="906" spans="1:1">
      <c r="A906" s="1" t="str">
        <f>"15005587489"</f>
        <v>15005587489</v>
      </c>
    </row>
    <row r="907" spans="1:1">
      <c r="A907" s="1" t="str">
        <f>"19965855312"</f>
        <v>19965855312</v>
      </c>
    </row>
    <row r="908" spans="1:1">
      <c r="A908" s="1" t="str">
        <f>"13501277886"</f>
        <v>13501277886</v>
      </c>
    </row>
    <row r="909" spans="1:1">
      <c r="A909" s="1" t="str">
        <f>"13785686051"</f>
        <v>13785686051</v>
      </c>
    </row>
    <row r="910" spans="1:1">
      <c r="A910" s="1" t="str">
        <f>"18955874858"</f>
        <v>18955874858</v>
      </c>
    </row>
    <row r="911" spans="1:1">
      <c r="A911" s="1" t="str">
        <f>"15250555521"</f>
        <v>15250555521</v>
      </c>
    </row>
    <row r="912" spans="1:1">
      <c r="A912" s="1" t="str">
        <f>"13932607129"</f>
        <v>13932607129</v>
      </c>
    </row>
    <row r="913" spans="1:1">
      <c r="A913" s="1" t="str">
        <f>"15715586553"</f>
        <v>15715586553</v>
      </c>
    </row>
    <row r="914" spans="1:1">
      <c r="A914" s="1" t="str">
        <f>"17310031204"</f>
        <v>17310031204</v>
      </c>
    </row>
    <row r="915" spans="1:1">
      <c r="A915" s="1" t="str">
        <f>"13833605738"</f>
        <v>13833605738</v>
      </c>
    </row>
    <row r="916" spans="1:1">
      <c r="A916" s="1" t="str">
        <f>"13910862755"</f>
        <v>13910862755</v>
      </c>
    </row>
    <row r="917" spans="1:1">
      <c r="A917" s="1" t="str">
        <f>"18610856050"</f>
        <v>18610856050</v>
      </c>
    </row>
    <row r="918" spans="1:1">
      <c r="A918" s="1" t="str">
        <f>"13934900702"</f>
        <v>13934900702</v>
      </c>
    </row>
    <row r="919" spans="1:1">
      <c r="A919" s="1" t="str">
        <f>"15255860747"</f>
        <v>15255860747</v>
      </c>
    </row>
    <row r="920" spans="1:1">
      <c r="A920" s="1" t="str">
        <f>"13930688958"</f>
        <v>13930688958</v>
      </c>
    </row>
    <row r="921" spans="1:1">
      <c r="A921" s="1" t="str">
        <f>"15652989992"</f>
        <v>15652989992</v>
      </c>
    </row>
    <row r="922" spans="1:1">
      <c r="A922" s="1" t="str">
        <f>"13930640971"</f>
        <v>13930640971</v>
      </c>
    </row>
    <row r="923" spans="1:1">
      <c r="A923" s="1" t="str">
        <f>"13601006546"</f>
        <v>13601006546</v>
      </c>
    </row>
    <row r="924" spans="1:1">
      <c r="A924" s="1" t="str">
        <f>"15313316159"</f>
        <v>15313316159</v>
      </c>
    </row>
    <row r="925" spans="1:1">
      <c r="A925" s="1" t="str">
        <f>"18732693106"</f>
        <v>18732693106</v>
      </c>
    </row>
    <row r="926" spans="1:1">
      <c r="A926" s="1" t="str">
        <f>"13522030792"</f>
        <v>13522030792</v>
      </c>
    </row>
    <row r="927" spans="1:1">
      <c r="A927" s="1" t="str">
        <f>"13683604395"</f>
        <v>13683604395</v>
      </c>
    </row>
    <row r="928" spans="1:1">
      <c r="A928" s="1" t="str">
        <f>"18891551558"</f>
        <v>18891551558</v>
      </c>
    </row>
    <row r="929" spans="1:1">
      <c r="A929" s="1" t="str">
        <f>"15934437407"</f>
        <v>15934437407</v>
      </c>
    </row>
    <row r="930" spans="1:1">
      <c r="A930" s="1" t="str">
        <f>"18610230952"</f>
        <v>18610230952</v>
      </c>
    </row>
    <row r="931" spans="1:1">
      <c r="A931" s="1" t="str">
        <f>"18010115868"</f>
        <v>18010115868</v>
      </c>
    </row>
    <row r="932" spans="1:1">
      <c r="A932" s="1" t="str">
        <f>"13588726378"</f>
        <v>13588726378</v>
      </c>
    </row>
    <row r="933" spans="1:1">
      <c r="A933" s="1" t="str">
        <f>"15665339713"</f>
        <v>15665339713</v>
      </c>
    </row>
    <row r="934" spans="1:1">
      <c r="A934" s="1" t="str">
        <f>"18756810701"</f>
        <v>18756810701</v>
      </c>
    </row>
    <row r="935" spans="1:1">
      <c r="A935" s="1" t="str">
        <f>"15075695855"</f>
        <v>15075695855</v>
      </c>
    </row>
    <row r="936" spans="1:1">
      <c r="A936" s="1" t="str">
        <f>"15055883390"</f>
        <v>15055883390</v>
      </c>
    </row>
    <row r="937" spans="1:1">
      <c r="A937" s="1" t="str">
        <f>"18256875081"</f>
        <v>18256875081</v>
      </c>
    </row>
    <row r="938" spans="1:1">
      <c r="A938" s="1" t="str">
        <f>"13731632589"</f>
        <v>13731632589</v>
      </c>
    </row>
    <row r="939" spans="1:1">
      <c r="A939" s="1" t="str">
        <f>"13515570543"</f>
        <v>13515570543</v>
      </c>
    </row>
    <row r="940" spans="1:1">
      <c r="A940" s="1" t="str">
        <f>"13167665566"</f>
        <v>13167665566</v>
      </c>
    </row>
    <row r="941" spans="1:1">
      <c r="A941" s="1" t="str">
        <f>"18513746831"</f>
        <v>18513746831</v>
      </c>
    </row>
    <row r="942" spans="1:1">
      <c r="A942" s="1" t="str">
        <f>"13801355450"</f>
        <v>13801355450</v>
      </c>
    </row>
    <row r="943" spans="1:1">
      <c r="A943" s="1" t="str">
        <f>"18722428245"</f>
        <v>18722428245</v>
      </c>
    </row>
    <row r="944" spans="1:1">
      <c r="A944" s="1" t="str">
        <f>"18750185052"</f>
        <v>18750185052</v>
      </c>
    </row>
    <row r="945" spans="1:1">
      <c r="A945" s="1" t="str">
        <f>"15850338193"</f>
        <v>15850338193</v>
      </c>
    </row>
    <row r="946" spans="1:1">
      <c r="A946" s="1" t="str">
        <f>"15231614194"</f>
        <v>15231614194</v>
      </c>
    </row>
    <row r="947" spans="1:1">
      <c r="A947" s="1" t="str">
        <f>"18222575526"</f>
        <v>18222575526</v>
      </c>
    </row>
    <row r="948" spans="1:1">
      <c r="A948" s="1" t="str">
        <f>"13505687317"</f>
        <v>13505687317</v>
      </c>
    </row>
    <row r="949" spans="1:1">
      <c r="A949" s="1" t="str">
        <f>"18322373735"</f>
        <v>18322373735</v>
      </c>
    </row>
    <row r="950" spans="1:1">
      <c r="A950" s="1" t="str">
        <f>"18033696056"</f>
        <v>18033696056</v>
      </c>
    </row>
    <row r="951" spans="1:1">
      <c r="A951" s="1" t="str">
        <f>"18522059883"</f>
        <v>18522059883</v>
      </c>
    </row>
    <row r="952" spans="1:1">
      <c r="A952" s="1" t="str">
        <f>"15301341157"</f>
        <v>15301341157</v>
      </c>
    </row>
    <row r="953" spans="1:1">
      <c r="A953" s="1" t="str">
        <f>"13932655233"</f>
        <v>13932655233</v>
      </c>
    </row>
    <row r="954" spans="1:1">
      <c r="A954" s="1" t="str">
        <f>"18618280581"</f>
        <v>18618280581</v>
      </c>
    </row>
    <row r="955" spans="1:1">
      <c r="A955" s="1" t="str">
        <f>"13930652950"</f>
        <v>13930652950</v>
      </c>
    </row>
    <row r="956" spans="1:1">
      <c r="A956" s="1" t="str">
        <f>"13661193633"</f>
        <v>13661193633</v>
      </c>
    </row>
    <row r="957" spans="1:1">
      <c r="A957" s="1" t="str">
        <f>"18510130433"</f>
        <v>18510130433</v>
      </c>
    </row>
    <row r="958" spans="1:1">
      <c r="A958" s="1" t="str">
        <f>"13391563737"</f>
        <v>13391563737</v>
      </c>
    </row>
    <row r="959" spans="1:1">
      <c r="A959" s="1" t="str">
        <f>"15313098575"</f>
        <v>15313098575</v>
      </c>
    </row>
    <row r="960" spans="1:1">
      <c r="A960" s="1" t="str">
        <f>"18322403723"</f>
        <v>18322403723</v>
      </c>
    </row>
    <row r="961" spans="1:1">
      <c r="A961" s="1" t="str">
        <f>"13665583864"</f>
        <v>13665583864</v>
      </c>
    </row>
    <row r="962" spans="1:1">
      <c r="A962" s="1" t="str">
        <f>"18533662231"</f>
        <v>18533662231</v>
      </c>
    </row>
    <row r="963" spans="1:1">
      <c r="A963" s="1" t="str">
        <f>"15822523217"</f>
        <v>15822523217</v>
      </c>
    </row>
    <row r="964" spans="1:1">
      <c r="A964" s="1" t="str">
        <f>"13132171456"</f>
        <v>13132171456</v>
      </c>
    </row>
    <row r="965" spans="1:1">
      <c r="A965" s="1" t="str">
        <f>"13920713773"</f>
        <v>13920713773</v>
      </c>
    </row>
    <row r="966" spans="1:1">
      <c r="A966" s="1" t="str">
        <f>"18831679399"</f>
        <v>18831679399</v>
      </c>
    </row>
    <row r="967" spans="1:1">
      <c r="A967" s="1" t="str">
        <f>"15655536069"</f>
        <v>15655536069</v>
      </c>
    </row>
    <row r="968" spans="1:1">
      <c r="A968" s="1" t="str">
        <f>"18801023650"</f>
        <v>18801023650</v>
      </c>
    </row>
    <row r="969" spans="1:1">
      <c r="A969" s="1" t="str">
        <f>"15510832172"</f>
        <v>15510832172</v>
      </c>
    </row>
    <row r="970" spans="1:1">
      <c r="A970" s="1" t="str">
        <f>"13777247439"</f>
        <v>13777247439</v>
      </c>
    </row>
    <row r="971" spans="1:1">
      <c r="A971" s="1" t="str">
        <f>"13905585733"</f>
        <v>13905585733</v>
      </c>
    </row>
    <row r="972" spans="1:1">
      <c r="A972" s="1" t="str">
        <f>"15858894107"</f>
        <v>15858894107</v>
      </c>
    </row>
    <row r="973" spans="1:1">
      <c r="A973" s="1" t="str">
        <f>"18355892398"</f>
        <v>18355892398</v>
      </c>
    </row>
    <row r="974" spans="1:1">
      <c r="A974" s="1" t="str">
        <f>"15804909588"</f>
        <v>15804909588</v>
      </c>
    </row>
    <row r="975" spans="1:1">
      <c r="A975" s="1" t="str">
        <f>"15267161822"</f>
        <v>15267161822</v>
      </c>
    </row>
    <row r="976" spans="1:1">
      <c r="A976" s="1" t="str">
        <f>"13030688907"</f>
        <v>13030688907</v>
      </c>
    </row>
    <row r="977" spans="1:1">
      <c r="A977" s="1" t="str">
        <f>"13611384043"</f>
        <v>13611384043</v>
      </c>
    </row>
    <row r="978" spans="1:1">
      <c r="A978" s="1" t="str">
        <f>"15267161822"</f>
        <v>15267161822</v>
      </c>
    </row>
    <row r="979" spans="1:1">
      <c r="A979" s="1" t="str">
        <f>"13966835809"</f>
        <v>13966835809</v>
      </c>
    </row>
    <row r="980" spans="1:1">
      <c r="A980" s="1" t="str">
        <f>"15205586076"</f>
        <v>15205586076</v>
      </c>
    </row>
    <row r="981" spans="1:1">
      <c r="A981" s="1" t="str">
        <f>"15114279305"</f>
        <v>15114279305</v>
      </c>
    </row>
    <row r="982" spans="1:1">
      <c r="A982" s="1" t="str">
        <f>"18931646890"</f>
        <v>18931646890</v>
      </c>
    </row>
    <row r="983" spans="1:1">
      <c r="A983" s="1" t="str">
        <f>"13761979632"</f>
        <v>13761979632</v>
      </c>
    </row>
    <row r="984" spans="1:1">
      <c r="A984" s="1" t="str">
        <f>"18955876886"</f>
        <v>18955876886</v>
      </c>
    </row>
    <row r="985" spans="1:1">
      <c r="A985" s="1" t="str">
        <f>"15855493903"</f>
        <v>15855493903</v>
      </c>
    </row>
    <row r="986" spans="1:1">
      <c r="A986" s="1" t="str">
        <f>"18232468088"</f>
        <v>18232468088</v>
      </c>
    </row>
    <row r="987" spans="1:1">
      <c r="A987" s="1" t="str">
        <f>"18269978606"</f>
        <v>18269978606</v>
      </c>
    </row>
    <row r="988" spans="1:1">
      <c r="A988" s="1" t="str">
        <f>"18756857323"</f>
        <v>18756857323</v>
      </c>
    </row>
    <row r="989" spans="1:1">
      <c r="A989" s="1" t="str">
        <f>"13605589694"</f>
        <v>13605589694</v>
      </c>
    </row>
    <row r="990" spans="1:1">
      <c r="A990" s="1" t="str">
        <f>"13381228110"</f>
        <v>13381228110</v>
      </c>
    </row>
    <row r="991" spans="1:1">
      <c r="A991" s="1" t="str">
        <f>"13342001816"</f>
        <v>13342001816</v>
      </c>
    </row>
    <row r="992" spans="1:1">
      <c r="A992" s="1" t="str">
        <f>"15215687727"</f>
        <v>15215687727</v>
      </c>
    </row>
    <row r="993" spans="1:1">
      <c r="A993" s="1" t="str">
        <f>"13920710185"</f>
        <v>13920710185</v>
      </c>
    </row>
    <row r="994" spans="1:1">
      <c r="A994" s="1" t="str">
        <f>"13766885228"</f>
        <v>13766885228</v>
      </c>
    </row>
    <row r="995" spans="1:1">
      <c r="A995" s="1" t="str">
        <f>"15694290160"</f>
        <v>15694290160</v>
      </c>
    </row>
    <row r="996" spans="1:1">
      <c r="A996" s="1" t="str">
        <f>"13331102525"</f>
        <v>13331102525</v>
      </c>
    </row>
    <row r="997" spans="1:1">
      <c r="A997" s="1" t="str">
        <f>"18256810637"</f>
        <v>18256810637</v>
      </c>
    </row>
    <row r="998" spans="1:1">
      <c r="A998" s="1" t="str">
        <f>"13866254620"</f>
        <v>13866254620</v>
      </c>
    </row>
    <row r="999" spans="1:1">
      <c r="A999" s="1" t="str">
        <f>"13044683887"</f>
        <v>13044683887</v>
      </c>
    </row>
    <row r="1000" spans="1:1">
      <c r="A1000" s="1" t="str">
        <f>"13955876290"</f>
        <v>13955876290</v>
      </c>
    </row>
    <row r="1001" spans="1:1">
      <c r="A1001" s="1" t="str">
        <f>"15955855374"</f>
        <v>15955855374</v>
      </c>
    </row>
    <row r="1002" spans="1:1">
      <c r="A1002" s="1" t="str">
        <f>"19155890998"</f>
        <v>19155890998</v>
      </c>
    </row>
    <row r="1003" spans="1:1">
      <c r="A1003" s="1" t="str">
        <f>"13942980765"</f>
        <v>13942980765</v>
      </c>
    </row>
    <row r="1004" spans="1:1">
      <c r="A1004" s="1" t="str">
        <f>"13955838863"</f>
        <v>13955838863</v>
      </c>
    </row>
    <row r="1005" spans="1:1">
      <c r="A1005" s="1" t="str">
        <f>"18269911044"</f>
        <v>18269911044</v>
      </c>
    </row>
    <row r="1006" spans="1:1">
      <c r="A1006" s="1" t="str">
        <f>"18142924123"</f>
        <v>18142924123</v>
      </c>
    </row>
    <row r="1007" spans="1:1">
      <c r="A1007" s="1" t="str">
        <f>"13035077688"</f>
        <v>13035077688</v>
      </c>
    </row>
    <row r="1008" spans="1:1">
      <c r="A1008" s="1" t="str">
        <f>"18801116173"</f>
        <v>18801116173</v>
      </c>
    </row>
    <row r="1009" spans="1:1">
      <c r="A1009" s="1" t="str">
        <f>"15105580525"</f>
        <v>15105580525</v>
      </c>
    </row>
    <row r="1010" spans="1:1">
      <c r="A1010" s="1" t="str">
        <f>"13665587272"</f>
        <v>13665587272</v>
      </c>
    </row>
    <row r="1011" spans="1:1">
      <c r="A1011" s="1" t="str">
        <f>"15720587661"</f>
        <v>15720587661</v>
      </c>
    </row>
    <row r="1012" spans="1:1">
      <c r="A1012" s="1" t="str">
        <f>"18033660621"</f>
        <v>18033660621</v>
      </c>
    </row>
    <row r="1013" spans="1:1">
      <c r="A1013" s="1" t="str">
        <f>"13956803834"</f>
        <v>13956803834</v>
      </c>
    </row>
    <row r="1014" spans="1:1">
      <c r="A1014" s="1" t="str">
        <f>"15831610519"</f>
        <v>15831610519</v>
      </c>
    </row>
    <row r="1015" spans="1:1">
      <c r="A1015" s="1" t="str">
        <f>"13955893192"</f>
        <v>13955893192</v>
      </c>
    </row>
    <row r="1016" spans="1:1">
      <c r="A1016" s="1" t="str">
        <f>"13833611801"</f>
        <v>13833611801</v>
      </c>
    </row>
    <row r="1017" spans="1:1">
      <c r="A1017" s="1" t="str">
        <f>"18832609895"</f>
        <v>18832609895</v>
      </c>
    </row>
    <row r="1018" spans="1:1">
      <c r="A1018" s="1" t="str">
        <f>"18715588572"</f>
        <v>18715588572</v>
      </c>
    </row>
    <row r="1019" spans="1:1">
      <c r="A1019" s="1" t="str">
        <f>"13621191787"</f>
        <v>13621191787</v>
      </c>
    </row>
    <row r="1020" spans="1:1">
      <c r="A1020" s="1" t="str">
        <f>"18355895335"</f>
        <v>18355895335</v>
      </c>
    </row>
    <row r="1021" spans="1:1">
      <c r="A1021" s="1" t="str">
        <f>"13691552216"</f>
        <v>13691552216</v>
      </c>
    </row>
    <row r="1022" spans="1:1">
      <c r="A1022" s="1" t="str">
        <f>"19166189807"</f>
        <v>19166189807</v>
      </c>
    </row>
    <row r="1023" spans="1:1">
      <c r="A1023" s="1" t="str">
        <f>"18855827783"</f>
        <v>18855827783</v>
      </c>
    </row>
    <row r="1024" spans="1:1">
      <c r="A1024" s="1" t="str">
        <f>"13965581401"</f>
        <v>13965581401</v>
      </c>
    </row>
    <row r="1025" spans="1:1">
      <c r="A1025" s="1" t="str">
        <f>"13965558090"</f>
        <v>13965558090</v>
      </c>
    </row>
    <row r="1026" spans="1:1">
      <c r="A1026" s="1" t="str">
        <f>"13552937107"</f>
        <v>13552937107</v>
      </c>
    </row>
    <row r="1027" spans="1:1">
      <c r="A1027" s="1" t="str">
        <f>"13956783088"</f>
        <v>13956783088</v>
      </c>
    </row>
    <row r="1028" spans="1:1">
      <c r="A1028" s="1" t="str">
        <f>"13966585321"</f>
        <v>13966585321</v>
      </c>
    </row>
    <row r="1029" spans="1:1">
      <c r="A1029" s="1" t="str">
        <f>"18731697839"</f>
        <v>18731697839</v>
      </c>
    </row>
    <row r="1030" spans="1:1">
      <c r="A1030" s="1" t="str">
        <f>"18600658595"</f>
        <v>18600658595</v>
      </c>
    </row>
    <row r="1031" spans="1:1">
      <c r="A1031" s="1" t="str">
        <f>"13505589266"</f>
        <v>13505589266</v>
      </c>
    </row>
    <row r="1032" spans="1:1">
      <c r="A1032" s="1" t="str">
        <f>"13955838816"</f>
        <v>13955838816</v>
      </c>
    </row>
    <row r="1033" spans="1:1">
      <c r="A1033" s="1" t="str">
        <f>"13956755873"</f>
        <v>13956755873</v>
      </c>
    </row>
    <row r="1034" spans="1:1">
      <c r="A1034" s="1" t="str">
        <f>"15122782837"</f>
        <v>15122782837</v>
      </c>
    </row>
    <row r="1035" spans="1:1">
      <c r="A1035" s="1" t="str">
        <f>"13470760239"</f>
        <v>13470760239</v>
      </c>
    </row>
    <row r="1036" spans="1:1">
      <c r="A1036" s="1" t="str">
        <f>"13581867500"</f>
        <v>13581867500</v>
      </c>
    </row>
    <row r="1037" spans="1:1">
      <c r="A1037" s="1" t="str">
        <f>"13966566718"</f>
        <v>13966566718</v>
      </c>
    </row>
    <row r="1038" spans="1:1">
      <c r="A1038" s="1" t="str">
        <f>"18712501179"</f>
        <v>18712501179</v>
      </c>
    </row>
    <row r="1039" spans="1:1">
      <c r="A1039" s="1" t="str">
        <f>"13466300733"</f>
        <v>13466300733</v>
      </c>
    </row>
    <row r="1040" spans="1:1">
      <c r="A1040" s="1" t="str">
        <f>"15105586706"</f>
        <v>15105586706</v>
      </c>
    </row>
    <row r="1041" spans="1:1">
      <c r="A1041" s="1" t="str">
        <f>"13866269072"</f>
        <v>13866269072</v>
      </c>
    </row>
    <row r="1042" spans="1:1">
      <c r="A1042" s="1" t="str">
        <f>"18310895606"</f>
        <v>18310895606</v>
      </c>
    </row>
    <row r="1043" spans="1:1">
      <c r="A1043" s="1" t="str">
        <f>"13932617289"</f>
        <v>13932617289</v>
      </c>
    </row>
    <row r="1044" spans="1:1">
      <c r="A1044" s="1" t="str">
        <f>"18518208006"</f>
        <v>18518208006</v>
      </c>
    </row>
    <row r="1045" spans="1:1">
      <c r="A1045" s="1" t="str">
        <f>"13473627408"</f>
        <v>13473627408</v>
      </c>
    </row>
    <row r="1046" spans="1:1">
      <c r="A1046" s="1" t="str">
        <f>"15076669131"</f>
        <v>15076669131</v>
      </c>
    </row>
    <row r="1047" spans="1:1">
      <c r="A1047" s="1" t="str">
        <f>"17682821539"</f>
        <v>17682821539</v>
      </c>
    </row>
    <row r="1048" spans="1:1">
      <c r="A1048" s="1" t="str">
        <f>"17733458638"</f>
        <v>17733458638</v>
      </c>
    </row>
    <row r="1049" spans="1:1">
      <c r="A1049" s="1" t="str">
        <f>"13956685419"</f>
        <v>13956685419</v>
      </c>
    </row>
    <row r="1050" spans="1:1">
      <c r="A1050" s="1" t="str">
        <f>"13521341634"</f>
        <v>13521341634</v>
      </c>
    </row>
    <row r="1051" spans="1:1">
      <c r="A1051" s="1" t="str">
        <f>"15004647188"</f>
        <v>15004647188</v>
      </c>
    </row>
    <row r="1052" spans="1:1">
      <c r="A1052" s="1" t="str">
        <f>"15996411564"</f>
        <v>15996411564</v>
      </c>
    </row>
    <row r="1053" spans="1:1">
      <c r="A1053" s="1" t="str">
        <f>"18317093583"</f>
        <v>18317093583</v>
      </c>
    </row>
    <row r="1054" spans="1:1">
      <c r="A1054" s="1" t="str">
        <f>"15931663698"</f>
        <v>15931663698</v>
      </c>
    </row>
    <row r="1055" spans="1:1">
      <c r="A1055" s="1" t="str">
        <f>"15905582098"</f>
        <v>15905582098</v>
      </c>
    </row>
    <row r="1056" spans="1:1">
      <c r="A1056" s="1" t="str">
        <f>"13581846408"</f>
        <v>13581846408</v>
      </c>
    </row>
    <row r="1057" spans="1:1">
      <c r="A1057" s="1" t="str">
        <f>"15801639196"</f>
        <v>15801639196</v>
      </c>
    </row>
    <row r="1058" spans="1:1">
      <c r="A1058" s="1" t="str">
        <f>"18750519646"</f>
        <v>18750519646</v>
      </c>
    </row>
    <row r="1059" spans="1:1">
      <c r="A1059" s="1" t="str">
        <f>"15900983550"</f>
        <v>15900983550</v>
      </c>
    </row>
    <row r="1060" spans="1:1">
      <c r="A1060" s="1" t="str">
        <f>"13611293136"</f>
        <v>13611293136</v>
      </c>
    </row>
    <row r="1061" spans="1:1">
      <c r="A1061" s="1" t="str">
        <f>"15956876491"</f>
        <v>15956876491</v>
      </c>
    </row>
    <row r="1062" spans="1:1">
      <c r="A1062" s="1" t="str">
        <f>"15227930818"</f>
        <v>15227930818</v>
      </c>
    </row>
    <row r="1063" spans="1:1">
      <c r="A1063" s="1" t="str">
        <f>"15856889255"</f>
        <v>15856889255</v>
      </c>
    </row>
    <row r="1064" spans="1:1">
      <c r="A1064" s="1" t="str">
        <f>"13814807867"</f>
        <v>13814807867</v>
      </c>
    </row>
    <row r="1065" spans="1:1">
      <c r="A1065" s="1" t="str">
        <f>"19955880575"</f>
        <v>19955880575</v>
      </c>
    </row>
    <row r="1066" spans="1:1">
      <c r="A1066" s="1" t="str">
        <f>"13285581566"</f>
        <v>13285581566</v>
      </c>
    </row>
    <row r="1067" spans="1:1">
      <c r="A1067" s="1" t="str">
        <f>"18663725988"</f>
        <v>18663725988</v>
      </c>
    </row>
    <row r="1068" spans="1:1">
      <c r="A1068" s="1" t="str">
        <f>"13810561368"</f>
        <v>13810561368</v>
      </c>
    </row>
    <row r="1069" spans="1:1">
      <c r="A1069" s="1" t="str">
        <f>"18705583738"</f>
        <v>18705583738</v>
      </c>
    </row>
    <row r="1070" spans="1:1">
      <c r="A1070" s="1" t="str">
        <f>"18231678511"</f>
        <v>18231678511</v>
      </c>
    </row>
    <row r="1071" spans="1:1">
      <c r="A1071" s="1" t="str">
        <f>"13515573041"</f>
        <v>13515573041</v>
      </c>
    </row>
    <row r="1072" spans="1:1">
      <c r="A1072" s="1" t="str">
        <f>"13615580927"</f>
        <v>13615580927</v>
      </c>
    </row>
    <row r="1073" spans="1:1">
      <c r="A1073" s="1" t="str">
        <f>"18555089070"</f>
        <v>18555089070</v>
      </c>
    </row>
    <row r="1074" spans="1:1">
      <c r="A1074" s="1" t="str">
        <f>"15855809400"</f>
        <v>15855809400</v>
      </c>
    </row>
    <row r="1075" spans="1:1">
      <c r="A1075" s="1" t="str">
        <f>"13833671289"</f>
        <v>13833671289</v>
      </c>
    </row>
    <row r="1076" spans="1:1">
      <c r="A1076" s="1" t="str">
        <f>"18656852222"</f>
        <v>18656852222</v>
      </c>
    </row>
    <row r="1077" spans="1:1">
      <c r="A1077" s="1" t="str">
        <f>"13966800511"</f>
        <v>13966800511</v>
      </c>
    </row>
    <row r="1078" spans="1:1">
      <c r="A1078" s="1" t="str">
        <f>"13105636127"</f>
        <v>13105636127</v>
      </c>
    </row>
    <row r="1079" spans="1:1">
      <c r="A1079" s="1" t="str">
        <f>"13245956986"</f>
        <v>13245956986</v>
      </c>
    </row>
    <row r="1080" spans="1:1">
      <c r="A1080" s="1" t="str">
        <f>"13965561039"</f>
        <v>13965561039</v>
      </c>
    </row>
    <row r="1081" spans="1:1">
      <c r="A1081" s="1" t="str">
        <f>"18255803571"</f>
        <v>18255803571</v>
      </c>
    </row>
    <row r="1082" spans="1:1">
      <c r="A1082" s="1" t="str">
        <f>"18355875833"</f>
        <v>18355875833</v>
      </c>
    </row>
    <row r="1083" spans="1:1">
      <c r="A1083" s="1" t="str">
        <f>"18096767276"</f>
        <v>18096767276</v>
      </c>
    </row>
    <row r="1084" spans="1:1">
      <c r="A1084" s="1" t="str">
        <f>"18005581608"</f>
        <v>18005581608</v>
      </c>
    </row>
    <row r="1085" spans="1:1">
      <c r="A1085" s="1" t="str">
        <f>"15010991206"</f>
        <v>15010991206</v>
      </c>
    </row>
    <row r="1086" spans="1:1">
      <c r="A1086" s="1" t="str">
        <f>"18116206391"</f>
        <v>18116206391</v>
      </c>
    </row>
    <row r="1087" spans="1:1">
      <c r="A1087" s="1" t="str">
        <f>"15075641357"</f>
        <v>15075641357</v>
      </c>
    </row>
    <row r="1088" spans="1:1">
      <c r="A1088" s="1" t="str">
        <f>"18710215958"</f>
        <v>18710215958</v>
      </c>
    </row>
    <row r="1089" spans="1:1">
      <c r="A1089" s="1" t="str">
        <f>"13615683531"</f>
        <v>13615683531</v>
      </c>
    </row>
    <row r="1090" spans="1:1">
      <c r="A1090" s="1" t="str">
        <f>"18201368860"</f>
        <v>18201368860</v>
      </c>
    </row>
    <row r="1091" spans="1:1">
      <c r="A1091" s="1" t="str">
        <f>"13019071985"</f>
        <v>13019071985</v>
      </c>
    </row>
    <row r="1092" spans="1:1">
      <c r="A1092" s="1" t="str">
        <f>"18600295525"</f>
        <v>18600295525</v>
      </c>
    </row>
    <row r="1093" spans="1:1">
      <c r="A1093" s="1" t="str">
        <f>"13932649217"</f>
        <v>13932649217</v>
      </c>
    </row>
    <row r="1094" spans="1:1">
      <c r="A1094" s="1" t="str">
        <f>"18621790769"</f>
        <v>18621790769</v>
      </c>
    </row>
    <row r="1095" spans="1:1">
      <c r="A1095" s="1" t="str">
        <f>"13126865865"</f>
        <v>13126865865</v>
      </c>
    </row>
    <row r="1096" spans="1:1">
      <c r="A1096" s="1" t="str">
        <f>"18325932636"</f>
        <v>18325932636</v>
      </c>
    </row>
    <row r="1097" spans="1:1">
      <c r="A1097" s="1" t="str">
        <f>"13722609493"</f>
        <v>13722609493</v>
      </c>
    </row>
    <row r="1098" spans="1:1">
      <c r="A1098" s="1" t="str">
        <f>"13932655640"</f>
        <v>13932655640</v>
      </c>
    </row>
    <row r="1099" spans="1:1">
      <c r="A1099" s="1" t="str">
        <f>"13582798079"</f>
        <v>13582798079</v>
      </c>
    </row>
    <row r="1100" spans="1:1">
      <c r="A1100" s="1" t="str">
        <f>"13085583339"</f>
        <v>13085583339</v>
      </c>
    </row>
    <row r="1101" spans="1:1">
      <c r="A1101" s="1" t="str">
        <f>"13832669618"</f>
        <v>13832669618</v>
      </c>
    </row>
    <row r="1102" spans="1:1">
      <c r="A1102" s="1" t="str">
        <f>"18731766823"</f>
        <v>18731766823</v>
      </c>
    </row>
    <row r="1103" spans="1:1">
      <c r="A1103" s="1" t="str">
        <f>"13857850411"</f>
        <v>13857850411</v>
      </c>
    </row>
    <row r="1104" spans="1:1">
      <c r="A1104" s="1" t="str">
        <f>"15142890162"</f>
        <v>15142890162</v>
      </c>
    </row>
    <row r="1105" spans="1:1">
      <c r="A1105" s="1" t="str">
        <f>"18730510011"</f>
        <v>18730510011</v>
      </c>
    </row>
    <row r="1106" spans="1:1">
      <c r="A1106" s="1" t="str">
        <f>"15075652572"</f>
        <v>15075652572</v>
      </c>
    </row>
    <row r="1107" spans="1:1">
      <c r="A1107" s="1" t="str">
        <f>"13832773308"</f>
        <v>13832773308</v>
      </c>
    </row>
    <row r="1108" spans="1:1">
      <c r="A1108" s="1" t="str">
        <f>"18712602159"</f>
        <v>18712602159</v>
      </c>
    </row>
    <row r="1109" spans="1:1">
      <c r="A1109" s="1" t="str">
        <f>"18133133719"</f>
        <v>18133133719</v>
      </c>
    </row>
    <row r="1110" spans="1:1">
      <c r="A1110" s="1" t="str">
        <f>"15831881958"</f>
        <v>15831881958</v>
      </c>
    </row>
    <row r="1111" spans="1:1">
      <c r="A1111" s="1" t="str">
        <f>"15856863971"</f>
        <v>15856863971</v>
      </c>
    </row>
    <row r="1112" spans="1:1">
      <c r="A1112" s="1" t="str">
        <f>"13505663443"</f>
        <v>13505663443</v>
      </c>
    </row>
    <row r="1113" spans="1:1">
      <c r="A1113" s="1" t="str">
        <f>"18600612721"</f>
        <v>18600612721</v>
      </c>
    </row>
    <row r="1114" spans="1:1">
      <c r="A1114" s="1" t="str">
        <f>"13831722678"</f>
        <v>13831722678</v>
      </c>
    </row>
    <row r="1115" spans="1:1">
      <c r="A1115" s="1" t="str">
        <f>"13605585580"</f>
        <v>13605585580</v>
      </c>
    </row>
    <row r="1116" spans="1:1">
      <c r="A1116" s="1" t="str">
        <f>"13738359112"</f>
        <v>13738359112</v>
      </c>
    </row>
    <row r="1117" spans="1:1">
      <c r="A1117" s="1" t="str">
        <f>"13231702899"</f>
        <v>13231702899</v>
      </c>
    </row>
    <row r="1118" spans="1:1">
      <c r="A1118" s="1" t="str">
        <f>"15856852677"</f>
        <v>15856852677</v>
      </c>
    </row>
    <row r="1119" spans="1:1">
      <c r="A1119" s="1" t="str">
        <f>"18611962953"</f>
        <v>18611962953</v>
      </c>
    </row>
    <row r="1120" spans="1:1">
      <c r="A1120" s="1" t="str">
        <f>"18655860991"</f>
        <v>18655860991</v>
      </c>
    </row>
    <row r="1121" spans="1:1">
      <c r="A1121" s="1" t="str">
        <f>"13930827206"</f>
        <v>13930827206</v>
      </c>
    </row>
    <row r="1122" spans="1:1">
      <c r="A1122" s="1" t="str">
        <f>"13615682898"</f>
        <v>13615682898</v>
      </c>
    </row>
    <row r="1123" spans="1:1">
      <c r="A1123" s="1" t="str">
        <f>"18600536393"</f>
        <v>18600536393</v>
      </c>
    </row>
    <row r="1124" spans="1:1">
      <c r="A1124" s="1" t="str">
        <f>"15375134523"</f>
        <v>15375134523</v>
      </c>
    </row>
    <row r="1125" spans="1:1">
      <c r="A1125" s="1" t="str">
        <f>"15811116288"</f>
        <v>15811116288</v>
      </c>
    </row>
    <row r="1126" spans="1:1">
      <c r="A1126" s="1" t="str">
        <f>"13345583219"</f>
        <v>13345583219</v>
      </c>
    </row>
    <row r="1127" spans="1:1">
      <c r="A1127" s="1" t="str">
        <f>"18214820246"</f>
        <v>18214820246</v>
      </c>
    </row>
    <row r="1128" spans="1:1">
      <c r="A1128" s="1" t="str">
        <f>"18010992981"</f>
        <v>18010992981</v>
      </c>
    </row>
    <row r="1129" spans="1:1">
      <c r="A1129" s="1" t="str">
        <f>"13865854803"</f>
        <v>13865854803</v>
      </c>
    </row>
    <row r="1130" spans="1:1">
      <c r="A1130" s="1" t="str">
        <f>"18009680324"</f>
        <v>18009680324</v>
      </c>
    </row>
    <row r="1131" spans="1:1">
      <c r="A1131" s="1" t="str">
        <f>"18910259620"</f>
        <v>18910259620</v>
      </c>
    </row>
    <row r="1132" spans="1:1">
      <c r="A1132" s="1" t="str">
        <f>"13439988726"</f>
        <v>13439988726</v>
      </c>
    </row>
    <row r="1133" spans="1:1">
      <c r="A1133" s="1" t="str">
        <f>"15755865109"</f>
        <v>15755865109</v>
      </c>
    </row>
    <row r="1134" spans="1:1">
      <c r="A1134" s="1" t="str">
        <f>"18298174646"</f>
        <v>18298174646</v>
      </c>
    </row>
    <row r="1135" spans="1:1">
      <c r="A1135" s="1" t="str">
        <f>"13966545322"</f>
        <v>13966545322</v>
      </c>
    </row>
    <row r="1136" spans="1:1">
      <c r="A1136" s="1" t="str">
        <f>"13955845555"</f>
        <v>13955845555</v>
      </c>
    </row>
    <row r="1137" spans="1:1">
      <c r="A1137" s="1" t="str">
        <f>"13720020531"</f>
        <v>13720020531</v>
      </c>
    </row>
    <row r="1138" spans="1:1">
      <c r="A1138" s="1" t="str">
        <f>"18033692299"</f>
        <v>18033692299</v>
      </c>
    </row>
    <row r="1139" spans="1:1">
      <c r="A1139" s="1" t="str">
        <f>"18110556699"</f>
        <v>18110556699</v>
      </c>
    </row>
    <row r="1140" spans="1:1">
      <c r="A1140" s="1" t="str">
        <f>"13998000031"</f>
        <v>13998000031</v>
      </c>
    </row>
    <row r="1141" spans="1:1">
      <c r="A1141" s="1" t="str">
        <f>"18900583621"</f>
        <v>18900583621</v>
      </c>
    </row>
    <row r="1142" spans="1:1">
      <c r="A1142" s="1" t="str">
        <f>"19355806096"</f>
        <v>19355806096</v>
      </c>
    </row>
    <row r="1143" spans="1:1">
      <c r="A1143" s="1" t="str">
        <f>"13085580771"</f>
        <v>13085580771</v>
      </c>
    </row>
    <row r="1144" spans="1:1">
      <c r="A1144" s="1" t="str">
        <f>"15955849827"</f>
        <v>15955849827</v>
      </c>
    </row>
    <row r="1145" spans="1:1">
      <c r="A1145" s="1" t="str">
        <f>"15551350318"</f>
        <v>15551350318</v>
      </c>
    </row>
    <row r="1146" spans="1:1">
      <c r="A1146" s="1" t="str">
        <f>"13501276179"</f>
        <v>13501276179</v>
      </c>
    </row>
    <row r="1147" spans="1:1">
      <c r="A1147" s="1" t="str">
        <f>"13956757980"</f>
        <v>13956757980</v>
      </c>
    </row>
    <row r="1148" spans="1:1">
      <c r="A1148" s="1" t="str">
        <f>"15056836078"</f>
        <v>15056836078</v>
      </c>
    </row>
    <row r="1149" spans="1:1">
      <c r="A1149" s="1" t="str">
        <f>"13965565043"</f>
        <v>13965565043</v>
      </c>
    </row>
    <row r="1150" spans="1:1">
      <c r="A1150" s="1" t="str">
        <f>"13170099888"</f>
        <v>13170099888</v>
      </c>
    </row>
    <row r="1151" spans="1:1">
      <c r="A1151" s="1" t="str">
        <f>"13965565043"</f>
        <v>13965565043</v>
      </c>
    </row>
    <row r="1152" spans="1:1">
      <c r="A1152" s="1" t="str">
        <f>"15178569536"</f>
        <v>15178569536</v>
      </c>
    </row>
    <row r="1153" spans="1:1">
      <c r="A1153" s="1" t="str">
        <f>"18325964527"</f>
        <v>18325964527</v>
      </c>
    </row>
    <row r="1154" spans="1:1">
      <c r="A1154" s="1" t="str">
        <f>"15952762713"</f>
        <v>15952762713</v>
      </c>
    </row>
    <row r="1155" spans="1:1">
      <c r="A1155" s="1" t="str">
        <f>"15956878811"</f>
        <v>15956878811</v>
      </c>
    </row>
    <row r="1156" spans="1:1">
      <c r="A1156" s="1" t="str">
        <f>"13393062692"</f>
        <v>13393062692</v>
      </c>
    </row>
    <row r="1157" spans="1:1">
      <c r="A1157" s="1" t="str">
        <f>"15810690708"</f>
        <v>15810690708</v>
      </c>
    </row>
    <row r="1158" spans="1:1">
      <c r="A1158" s="1" t="str">
        <f>"15801459870"</f>
        <v>15801459870</v>
      </c>
    </row>
    <row r="1159" spans="1:1">
      <c r="A1159" s="1" t="str">
        <f>"15122766988"</f>
        <v>15122766988</v>
      </c>
    </row>
    <row r="1160" spans="1:1">
      <c r="A1160" s="1" t="str">
        <f>"13910882887"</f>
        <v>13910882887</v>
      </c>
    </row>
    <row r="1161" spans="1:1">
      <c r="A1161" s="1" t="str">
        <f>"15855843072"</f>
        <v>15855843072</v>
      </c>
    </row>
    <row r="1162" spans="1:1">
      <c r="A1162" s="1" t="str">
        <f>"15290675756"</f>
        <v>15290675756</v>
      </c>
    </row>
    <row r="1163" spans="1:1">
      <c r="A1163" s="1" t="str">
        <f>"13514939107"</f>
        <v>13514939107</v>
      </c>
    </row>
    <row r="1164" spans="1:1">
      <c r="A1164" s="1" t="str">
        <f>"18101193553"</f>
        <v>18101193553</v>
      </c>
    </row>
    <row r="1165" spans="1:1">
      <c r="A1165" s="1" t="str">
        <f>"19932604940"</f>
        <v>19932604940</v>
      </c>
    </row>
    <row r="1166" spans="1:1">
      <c r="A1166" s="1" t="str">
        <f>"17333624096"</f>
        <v>17333624096</v>
      </c>
    </row>
    <row r="1167" spans="1:1">
      <c r="A1167" s="1" t="str">
        <f>"15075609292"</f>
        <v>15075609292</v>
      </c>
    </row>
    <row r="1168" spans="1:1">
      <c r="A1168" s="1" t="str">
        <f>"18201019491"</f>
        <v>18201019491</v>
      </c>
    </row>
    <row r="1169" spans="1:1">
      <c r="A1169" s="1" t="str">
        <f>"15910601153"</f>
        <v>15910601153</v>
      </c>
    </row>
    <row r="1170" spans="1:1">
      <c r="A1170" s="1" t="str">
        <f>"13965741390"</f>
        <v>13965741390</v>
      </c>
    </row>
    <row r="1171" spans="1:1">
      <c r="A1171" s="1" t="str">
        <f>"15551600512"</f>
        <v>15551600512</v>
      </c>
    </row>
    <row r="1172" spans="1:1">
      <c r="A1172" s="1" t="str">
        <f>"15856838687"</f>
        <v>15856838687</v>
      </c>
    </row>
    <row r="1173" spans="1:1">
      <c r="A1173" s="1" t="str">
        <f>"13966805235"</f>
        <v>13966805235</v>
      </c>
    </row>
    <row r="1174" spans="1:1">
      <c r="A1174" s="1" t="str">
        <f>"18055878236"</f>
        <v>18055878236</v>
      </c>
    </row>
    <row r="1175" spans="1:1">
      <c r="A1175" s="1" t="str">
        <f>"18255827003"</f>
        <v>18255827003</v>
      </c>
    </row>
    <row r="1176" spans="1:1">
      <c r="A1176" s="1" t="str">
        <f>"13470767522"</f>
        <v>13470767522</v>
      </c>
    </row>
    <row r="1177" spans="1:1">
      <c r="A1177" s="1" t="str">
        <f>"18255816608"</f>
        <v>18255816608</v>
      </c>
    </row>
    <row r="1178" spans="1:1">
      <c r="A1178" s="1" t="str">
        <f>"18155823586"</f>
        <v>18155823586</v>
      </c>
    </row>
    <row r="1179" spans="1:1">
      <c r="A1179" s="1" t="str">
        <f>"18261840326"</f>
        <v>18261840326</v>
      </c>
    </row>
    <row r="1180" spans="1:1">
      <c r="A1180" s="1" t="str">
        <f>"13965568364"</f>
        <v>13965568364</v>
      </c>
    </row>
    <row r="1181" spans="1:1">
      <c r="A1181" s="1" t="str">
        <f>"15002230678"</f>
        <v>15002230678</v>
      </c>
    </row>
    <row r="1182" spans="1:1">
      <c r="A1182" s="1" t="str">
        <f>"13661395288"</f>
        <v>13661395288</v>
      </c>
    </row>
    <row r="1183" spans="1:1">
      <c r="A1183" s="1" t="str">
        <f>"15555972885"</f>
        <v>15555972885</v>
      </c>
    </row>
    <row r="1184" spans="1:1">
      <c r="A1184" s="1" t="str">
        <f>"18269920867"</f>
        <v>18269920867</v>
      </c>
    </row>
    <row r="1185" spans="1:1">
      <c r="A1185" s="1" t="str">
        <f>"18226315093"</f>
        <v>18226315093</v>
      </c>
    </row>
    <row r="1186" spans="1:1">
      <c r="A1186" s="1" t="str">
        <f>"15005581426"</f>
        <v>15005581426</v>
      </c>
    </row>
    <row r="1187" spans="1:1">
      <c r="A1187" s="1" t="str">
        <f>"18156265111"</f>
        <v>18156265111</v>
      </c>
    </row>
    <row r="1188" spans="1:1">
      <c r="A1188" s="1" t="str">
        <f>"15249802110"</f>
        <v>15249802110</v>
      </c>
    </row>
    <row r="1189" spans="1:1">
      <c r="A1189" s="1" t="str">
        <f>"13966849173"</f>
        <v>13966849173</v>
      </c>
    </row>
    <row r="1190" spans="1:1">
      <c r="A1190" s="1" t="str">
        <f>"15905584637"</f>
        <v>15905584637</v>
      </c>
    </row>
    <row r="1191" spans="1:1">
      <c r="A1191" s="1" t="str">
        <f>"15156662025"</f>
        <v>15156662025</v>
      </c>
    </row>
    <row r="1192" spans="1:1">
      <c r="A1192" s="1" t="str">
        <f>"18269916730"</f>
        <v>18269916730</v>
      </c>
    </row>
    <row r="1193" spans="1:1">
      <c r="A1193" s="1" t="str">
        <f>"13170041683"</f>
        <v>13170041683</v>
      </c>
    </row>
    <row r="1194" spans="1:1">
      <c r="A1194" s="1" t="str">
        <f>"18703551366"</f>
        <v>18703551366</v>
      </c>
    </row>
    <row r="1195" spans="1:1">
      <c r="A1195" s="1" t="str">
        <f>"15255887215"</f>
        <v>15255887215</v>
      </c>
    </row>
    <row r="1196" spans="1:1">
      <c r="A1196" s="1" t="str">
        <f>"15726826990"</f>
        <v>15726826990</v>
      </c>
    </row>
    <row r="1197" spans="1:1">
      <c r="A1197" s="1" t="str">
        <f>"18712656913"</f>
        <v>18712656913</v>
      </c>
    </row>
    <row r="1198" spans="1:1">
      <c r="A1198" s="1" t="str">
        <f>"15117997669"</f>
        <v>15117997669</v>
      </c>
    </row>
    <row r="1199" spans="1:1">
      <c r="A1199" s="1" t="str">
        <f>"18755837856"</f>
        <v>18755837856</v>
      </c>
    </row>
    <row r="1200" spans="1:1">
      <c r="A1200" s="1" t="str">
        <f>"18712607610"</f>
        <v>18712607610</v>
      </c>
    </row>
    <row r="1201" spans="1:1">
      <c r="A1201" s="1" t="str">
        <f>"18956723267"</f>
        <v>18956723267</v>
      </c>
    </row>
    <row r="1202" spans="1:1">
      <c r="A1202" s="1" t="str">
        <f>"18325835512"</f>
        <v>18325835512</v>
      </c>
    </row>
    <row r="1203" spans="1:1">
      <c r="A1203" s="1" t="str">
        <f>"18110579295"</f>
        <v>18110579295</v>
      </c>
    </row>
    <row r="1204" spans="1:1">
      <c r="A1204" s="1" t="str">
        <f>"19105680001"</f>
        <v>19105680001</v>
      </c>
    </row>
    <row r="1205" spans="1:1">
      <c r="A1205" s="1" t="str">
        <f>"13966582858"</f>
        <v>13966582858</v>
      </c>
    </row>
    <row r="1206" spans="1:1">
      <c r="A1206" s="1" t="str">
        <f>"18756876830"</f>
        <v>18756876830</v>
      </c>
    </row>
    <row r="1207" spans="1:1">
      <c r="A1207" s="1" t="str">
        <f>"13805589265"</f>
        <v>13805589265</v>
      </c>
    </row>
    <row r="1208" spans="1:1">
      <c r="A1208" s="1" t="str">
        <f>"18356856765"</f>
        <v>18356856765</v>
      </c>
    </row>
    <row r="1209" spans="1:1">
      <c r="A1209" s="1" t="str">
        <f>"15955853062"</f>
        <v>15955853062</v>
      </c>
    </row>
    <row r="1210" spans="1:1">
      <c r="A1210" s="1" t="str">
        <f>"13470765683"</f>
        <v>13470765683</v>
      </c>
    </row>
    <row r="1211" spans="1:1">
      <c r="A1211" s="1" t="str">
        <f>"15905681121"</f>
        <v>15905681121</v>
      </c>
    </row>
    <row r="1212" spans="1:1">
      <c r="A1212" s="1" t="str">
        <f>"13431171822"</f>
        <v>13431171822</v>
      </c>
    </row>
    <row r="1213" spans="1:1">
      <c r="A1213" s="1" t="str">
        <f>"15967813691"</f>
        <v>15967813691</v>
      </c>
    </row>
    <row r="1214" spans="1:1">
      <c r="A1214" s="1" t="str">
        <f>"15256812535"</f>
        <v>15256812535</v>
      </c>
    </row>
    <row r="1215" spans="1:1">
      <c r="A1215" s="1" t="str">
        <f>"18712661692"</f>
        <v>18712661692</v>
      </c>
    </row>
    <row r="1216" spans="1:1">
      <c r="A1216" s="1" t="str">
        <f>"18096797112"</f>
        <v>18096797112</v>
      </c>
    </row>
    <row r="1217" spans="1:1">
      <c r="A1217" s="1" t="str">
        <f>"13093361660"</f>
        <v>13093361660</v>
      </c>
    </row>
    <row r="1218" spans="1:1">
      <c r="A1218" s="1" t="str">
        <f>"19955869657"</f>
        <v>19955869657</v>
      </c>
    </row>
    <row r="1219" spans="1:1">
      <c r="A1219" s="1" t="str">
        <f>"18112563893"</f>
        <v>18112563893</v>
      </c>
    </row>
    <row r="1220" spans="1:1">
      <c r="A1220" s="1" t="str">
        <f>"15055556615"</f>
        <v>15055556615</v>
      </c>
    </row>
    <row r="1221" spans="1:1">
      <c r="A1221" s="1" t="str">
        <f>"15531229997"</f>
        <v>15531229997</v>
      </c>
    </row>
    <row r="1222" spans="1:1">
      <c r="A1222" s="1" t="str">
        <f>"15855582064"</f>
        <v>15855582064</v>
      </c>
    </row>
    <row r="1223" spans="1:1">
      <c r="A1223" s="1" t="str">
        <f>"17355803939"</f>
        <v>17355803939</v>
      </c>
    </row>
    <row r="1224" spans="1:1">
      <c r="A1224" s="1" t="str">
        <f>"15955847954"</f>
        <v>15955847954</v>
      </c>
    </row>
    <row r="1225" spans="1:1">
      <c r="A1225" s="1" t="str">
        <f>"15302115190"</f>
        <v>15302115190</v>
      </c>
    </row>
    <row r="1226" spans="1:1">
      <c r="A1226" s="1" t="str">
        <f>"17709682920"</f>
        <v>17709682920</v>
      </c>
    </row>
    <row r="1227" spans="1:1">
      <c r="A1227" s="1" t="str">
        <f>"15055579480"</f>
        <v>15055579480</v>
      </c>
    </row>
    <row r="1228" spans="1:1">
      <c r="A1228" s="1" t="str">
        <f>"15856859446"</f>
        <v>15856859446</v>
      </c>
    </row>
    <row r="1229" spans="1:1">
      <c r="A1229" s="1" t="str">
        <f>"15855581088"</f>
        <v>15855581088</v>
      </c>
    </row>
    <row r="1230" spans="1:1">
      <c r="A1230" s="1" t="str">
        <f>"13992309630"</f>
        <v>13992309630</v>
      </c>
    </row>
    <row r="1231" spans="1:1">
      <c r="A1231" s="1" t="str">
        <f>"18656839920"</f>
        <v>18656839920</v>
      </c>
    </row>
    <row r="1232" spans="1:1">
      <c r="A1232" s="1" t="str">
        <f>"18656838520"</f>
        <v>18656838520</v>
      </c>
    </row>
    <row r="1233" spans="1:1">
      <c r="A1233" s="1" t="str">
        <f>"15956816032"</f>
        <v>15956816032</v>
      </c>
    </row>
    <row r="1234" spans="1:1">
      <c r="A1234" s="1" t="str">
        <f>"15178195296"</f>
        <v>15178195296</v>
      </c>
    </row>
    <row r="1235" spans="1:1">
      <c r="A1235" s="1" t="str">
        <f>"18010993108"</f>
        <v>18010993108</v>
      </c>
    </row>
    <row r="1236" spans="1:1">
      <c r="A1236" s="1" t="str">
        <f>"13399680767"</f>
        <v>13399680767</v>
      </c>
    </row>
    <row r="1237" spans="1:1">
      <c r="A1237" s="1" t="str">
        <f>"15055554076"</f>
        <v>15055554076</v>
      </c>
    </row>
    <row r="1238" spans="1:1">
      <c r="A1238" s="1" t="str">
        <f>"18102586158"</f>
        <v>18102586158</v>
      </c>
    </row>
    <row r="1239" spans="1:1">
      <c r="A1239" s="1" t="str">
        <f>"15715586670"</f>
        <v>15715586670</v>
      </c>
    </row>
    <row r="1240" spans="1:1">
      <c r="A1240" s="1" t="str">
        <f>"15399673887"</f>
        <v>15399673887</v>
      </c>
    </row>
    <row r="1241" spans="1:1">
      <c r="A1241" s="1" t="str">
        <f>"15055553146"</f>
        <v>15055553146</v>
      </c>
    </row>
    <row r="1242" spans="1:1">
      <c r="A1242" s="1" t="str">
        <f>"15955810636"</f>
        <v>15955810636</v>
      </c>
    </row>
    <row r="1243" spans="1:1">
      <c r="A1243" s="1" t="str">
        <f>"18655877577"</f>
        <v>18655877577</v>
      </c>
    </row>
    <row r="1244" spans="1:1">
      <c r="A1244" s="1" t="str">
        <f>"15155882206"</f>
        <v>15155882206</v>
      </c>
    </row>
    <row r="1245" spans="1:1">
      <c r="A1245" s="1" t="str">
        <f>"18832609895"</f>
        <v>18832609895</v>
      </c>
    </row>
    <row r="1246" spans="1:1">
      <c r="A1246" s="1" t="str">
        <f>"18756846236"</f>
        <v>18756846236</v>
      </c>
    </row>
    <row r="1247" spans="1:1">
      <c r="A1247" s="1" t="str">
        <f>"15215687133"</f>
        <v>15215687133</v>
      </c>
    </row>
    <row r="1248" spans="1:1">
      <c r="A1248" s="1" t="str">
        <f>"18832609895"</f>
        <v>18832609895</v>
      </c>
    </row>
    <row r="1249" spans="1:1">
      <c r="A1249" s="1" t="str">
        <f>"18269976263"</f>
        <v>18269976263</v>
      </c>
    </row>
    <row r="1250" spans="1:1">
      <c r="A1250" s="1" t="str">
        <f>"18610821989"</f>
        <v>18610821989</v>
      </c>
    </row>
    <row r="1251" spans="1:1">
      <c r="A1251" s="1" t="str">
        <f>"18701682161"</f>
        <v>18701682161</v>
      </c>
    </row>
    <row r="1252" spans="1:1">
      <c r="A1252" s="1" t="str">
        <f>"15222006288"</f>
        <v>15222006288</v>
      </c>
    </row>
    <row r="1253" spans="1:1">
      <c r="A1253" s="1" t="str">
        <f>"15055549262"</f>
        <v>15055549262</v>
      </c>
    </row>
    <row r="1254" spans="1:1">
      <c r="A1254" s="1" t="str">
        <f>"13966806422"</f>
        <v>13966806422</v>
      </c>
    </row>
    <row r="1255" spans="1:1">
      <c r="A1255" s="1" t="str">
        <f>"17755825200"</f>
        <v>17755825200</v>
      </c>
    </row>
    <row r="1256" spans="1:1">
      <c r="A1256" s="1" t="str">
        <f>"13966805076"</f>
        <v>13966805076</v>
      </c>
    </row>
    <row r="1257" spans="1:1">
      <c r="A1257" s="1" t="str">
        <f>"15822241456"</f>
        <v>15822241456</v>
      </c>
    </row>
    <row r="1258" spans="1:1">
      <c r="A1258" s="1" t="str">
        <f>"15522255333"</f>
        <v>15522255333</v>
      </c>
    </row>
    <row r="1259" spans="1:1">
      <c r="A1259" s="1" t="str">
        <f>"18618206757"</f>
        <v>18618206757</v>
      </c>
    </row>
    <row r="1260" spans="1:1">
      <c r="A1260" s="1" t="str">
        <f>"19930254203"</f>
        <v>19930254203</v>
      </c>
    </row>
    <row r="1261" spans="1:1">
      <c r="A1261" s="1" t="str">
        <f>"13732652339"</f>
        <v>13732652339</v>
      </c>
    </row>
    <row r="1262" spans="1:1">
      <c r="A1262" s="1" t="str">
        <f>"13998969604"</f>
        <v>13998969604</v>
      </c>
    </row>
    <row r="1263" spans="1:1">
      <c r="A1263" s="1" t="str">
        <f>"15222311246"</f>
        <v>15222311246</v>
      </c>
    </row>
    <row r="1264" spans="1:1">
      <c r="A1264" s="1" t="str">
        <f>"17333792528"</f>
        <v>17333792528</v>
      </c>
    </row>
    <row r="1265" spans="1:1">
      <c r="A1265" s="1" t="str">
        <f>"18526692793"</f>
        <v>18526692793</v>
      </c>
    </row>
    <row r="1266" spans="1:1">
      <c r="A1266" s="1" t="str">
        <f>"18630626876"</f>
        <v>18630626876</v>
      </c>
    </row>
    <row r="1267" spans="1:1">
      <c r="A1267" s="1" t="str">
        <f>"13699161719"</f>
        <v>13699161719</v>
      </c>
    </row>
    <row r="1268" spans="1:1">
      <c r="A1268" s="1" t="str">
        <f>"13821411788"</f>
        <v>13821411788</v>
      </c>
    </row>
    <row r="1269" spans="1:1">
      <c r="A1269" s="1" t="str">
        <f>"15242996998"</f>
        <v>15242996998</v>
      </c>
    </row>
    <row r="1270" spans="1:1">
      <c r="A1270" s="1" t="str">
        <f>"15100605433"</f>
        <v>15100605433</v>
      </c>
    </row>
    <row r="1271" spans="1:1">
      <c r="A1271" s="1" t="str">
        <f>"15532781843"</f>
        <v>15532781843</v>
      </c>
    </row>
    <row r="1272" spans="1:1">
      <c r="A1272" s="1" t="str">
        <f>"17600766794"</f>
        <v>17600766794</v>
      </c>
    </row>
    <row r="1273" spans="1:1">
      <c r="A1273" s="1" t="str">
        <f>"18103167567"</f>
        <v>18103167567</v>
      </c>
    </row>
    <row r="1274" spans="1:1">
      <c r="A1274" s="1" t="str">
        <f>"13199621699"</f>
        <v>13199621699</v>
      </c>
    </row>
    <row r="1275" spans="1:1">
      <c r="A1275" s="1" t="str">
        <f>"13661307361"</f>
        <v>13661307361</v>
      </c>
    </row>
    <row r="1276" spans="1:1">
      <c r="A1276" s="1" t="str">
        <f>"15612325545"</f>
        <v>15612325545</v>
      </c>
    </row>
    <row r="1277" spans="1:1">
      <c r="A1277" s="1" t="str">
        <f>"17333782528"</f>
        <v>17333782528</v>
      </c>
    </row>
    <row r="1278" spans="1:1">
      <c r="A1278" s="1" t="str">
        <f>"13898954232"</f>
        <v>13898954232</v>
      </c>
    </row>
    <row r="1279" spans="1:1">
      <c r="A1279" s="1" t="str">
        <f>"15531738179"</f>
        <v>15531738179</v>
      </c>
    </row>
    <row r="1280" spans="1:1">
      <c r="A1280" s="1" t="str">
        <f>"13633135299"</f>
        <v>13633135299</v>
      </c>
    </row>
    <row r="1281" spans="1:1">
      <c r="A1281" s="1" t="str">
        <f>"15933066812"</f>
        <v>15933066812</v>
      </c>
    </row>
    <row r="1282" spans="1:1">
      <c r="A1282" s="1" t="str">
        <f>"13505580226"</f>
        <v>13505580226</v>
      </c>
    </row>
    <row r="1283" spans="1:1">
      <c r="A1283" s="1" t="str">
        <f>"13313261325"</f>
        <v>13313261325</v>
      </c>
    </row>
    <row r="1284" spans="1:1">
      <c r="A1284" s="1" t="str">
        <f>"15127657873"</f>
        <v>15127657873</v>
      </c>
    </row>
    <row r="1285" spans="1:1">
      <c r="A1285" s="1" t="str">
        <f>"13832607070"</f>
        <v>13832607070</v>
      </c>
    </row>
    <row r="1286" spans="1:1">
      <c r="A1286" s="1" t="str">
        <f>"15830604468"</f>
        <v>15830604468</v>
      </c>
    </row>
    <row r="1287" spans="1:1">
      <c r="A1287" s="1" t="str">
        <f>"18531841915"</f>
        <v>18531841915</v>
      </c>
    </row>
    <row r="1288" spans="1:1">
      <c r="A1288" s="1" t="str">
        <f>"15815502351"</f>
        <v>15815502351</v>
      </c>
    </row>
    <row r="1289" spans="1:1">
      <c r="A1289" s="1" t="str">
        <f>"13901204391"</f>
        <v>13901204391</v>
      </c>
    </row>
    <row r="1290" spans="1:1">
      <c r="A1290" s="1" t="str">
        <f>"13681408086"</f>
        <v>13681408086</v>
      </c>
    </row>
    <row r="1291" spans="1:1">
      <c r="A1291" s="1" t="str">
        <f>"18002183907"</f>
        <v>18002183907</v>
      </c>
    </row>
    <row r="1292" spans="1:1">
      <c r="A1292" s="1" t="str">
        <f>"13910897195"</f>
        <v>13910897195</v>
      </c>
    </row>
    <row r="1293" spans="1:1">
      <c r="A1293" s="1" t="str">
        <f>"13693529472"</f>
        <v>13693529472</v>
      </c>
    </row>
    <row r="1294" spans="1:1">
      <c r="A1294" s="1" t="str">
        <f>"17610498853"</f>
        <v>17610498853</v>
      </c>
    </row>
    <row r="1295" spans="1:1">
      <c r="A1295" s="1" t="str">
        <f>"13601295530"</f>
        <v>13601295530</v>
      </c>
    </row>
    <row r="1296" spans="1:1">
      <c r="A1296" s="1" t="str">
        <f>"18513334776"</f>
        <v>18513334776</v>
      </c>
    </row>
    <row r="1297" spans="1:1">
      <c r="A1297" s="1" t="str">
        <f>"13911631104"</f>
        <v>13911631104</v>
      </c>
    </row>
    <row r="1298" spans="1:1">
      <c r="A1298" s="1" t="str">
        <f>"15266082745"</f>
        <v>15266082745</v>
      </c>
    </row>
    <row r="1299" spans="1:1">
      <c r="A1299" s="1" t="str">
        <f>"15100231322"</f>
        <v>15100231322</v>
      </c>
    </row>
    <row r="1300" spans="1:1">
      <c r="A1300" s="1" t="str">
        <f>"15055557907"</f>
        <v>15055557907</v>
      </c>
    </row>
    <row r="1301" spans="1:1">
      <c r="A1301" s="1" t="str">
        <f>"13811505127"</f>
        <v>13811505127</v>
      </c>
    </row>
    <row r="1302" spans="1:1">
      <c r="A1302" s="1" t="str">
        <f>"18201073023"</f>
        <v>18201073023</v>
      </c>
    </row>
    <row r="1303" spans="1:1">
      <c r="A1303" s="1" t="str">
        <f>"15810817290"</f>
        <v>15810817290</v>
      </c>
    </row>
    <row r="1304" spans="1:1">
      <c r="A1304" s="1" t="str">
        <f>"15801608748"</f>
        <v>15801608748</v>
      </c>
    </row>
    <row r="1305" spans="1:1">
      <c r="A1305" s="1" t="str">
        <f>"18002068787"</f>
        <v>18002068787</v>
      </c>
    </row>
    <row r="1306" spans="1:1">
      <c r="A1306" s="1" t="str">
        <f>"13313060222"</f>
        <v>13313060222</v>
      </c>
    </row>
    <row r="1307" spans="1:1">
      <c r="A1307" s="1" t="str">
        <f>"13732655233"</f>
        <v>13732655233</v>
      </c>
    </row>
    <row r="1308" spans="1:1">
      <c r="A1308" s="1" t="str">
        <f>"18755801077"</f>
        <v>18755801077</v>
      </c>
    </row>
    <row r="1309" spans="1:1">
      <c r="A1309" s="1" t="str">
        <f>"15556791266"</f>
        <v>15556791266</v>
      </c>
    </row>
    <row r="1310" spans="1:1">
      <c r="A1310" s="1" t="str">
        <f>"13855870244"</f>
        <v>13855870244</v>
      </c>
    </row>
    <row r="1311" spans="1:1">
      <c r="A1311" s="1" t="str">
        <f>"18096726722"</f>
        <v>18096726722</v>
      </c>
    </row>
    <row r="1312" spans="1:1">
      <c r="A1312" s="1" t="str">
        <f>"18856821051"</f>
        <v>18856821051</v>
      </c>
    </row>
    <row r="1313" spans="1:1">
      <c r="A1313" s="1" t="str">
        <f>"13955886793"</f>
        <v>13955886793</v>
      </c>
    </row>
    <row r="1314" spans="1:1">
      <c r="A1314" s="1" t="str">
        <f>"18726547951"</f>
        <v>18726547951</v>
      </c>
    </row>
    <row r="1315" spans="1:1">
      <c r="A1315" s="1" t="str">
        <f>"15256881718"</f>
        <v>15256881718</v>
      </c>
    </row>
    <row r="1316" spans="1:1">
      <c r="A1316" s="1" t="str">
        <f>"15055884009"</f>
        <v>15055884009</v>
      </c>
    </row>
    <row r="1317" spans="1:1">
      <c r="A1317" s="1" t="str">
        <f>"17640625061"</f>
        <v>17640625061</v>
      </c>
    </row>
    <row r="1318" spans="1:1">
      <c r="A1318" s="1" t="str">
        <f>"15305586088"</f>
        <v>15305586088</v>
      </c>
    </row>
    <row r="1319" spans="1:1">
      <c r="A1319" s="1" t="str">
        <f>"18610556506"</f>
        <v>18610556506</v>
      </c>
    </row>
    <row r="1320" spans="1:1">
      <c r="A1320" s="1" t="str">
        <f>"13855836051"</f>
        <v>13855836051</v>
      </c>
    </row>
    <row r="1321" spans="1:1">
      <c r="A1321" s="1" t="str">
        <f>"17530096397"</f>
        <v>17530096397</v>
      </c>
    </row>
    <row r="1322" spans="1:1">
      <c r="A1322" s="1" t="str">
        <f>"13905586927"</f>
        <v>13905586927</v>
      </c>
    </row>
    <row r="1323" spans="1:1">
      <c r="A1323" s="1" t="str">
        <f>"18630159583"</f>
        <v>18630159583</v>
      </c>
    </row>
    <row r="1324" spans="1:1">
      <c r="A1324" s="1" t="str">
        <f>"15856885627"</f>
        <v>15856885627</v>
      </c>
    </row>
    <row r="1325" spans="1:1">
      <c r="A1325" s="1" t="str">
        <f>"13910407155"</f>
        <v>13910407155</v>
      </c>
    </row>
    <row r="1326" spans="1:1">
      <c r="A1326" s="1" t="str">
        <f>"15642804777"</f>
        <v>15642804777</v>
      </c>
    </row>
    <row r="1327" spans="1:1">
      <c r="A1327" s="1" t="str">
        <f>"13180341680"</f>
        <v>13180341680</v>
      </c>
    </row>
    <row r="1328" spans="1:1">
      <c r="A1328" s="1" t="str">
        <f>"13522686077"</f>
        <v>13522686077</v>
      </c>
    </row>
    <row r="1329" spans="1:1">
      <c r="A1329" s="1" t="str">
        <f>"18555083633"</f>
        <v>18555083633</v>
      </c>
    </row>
    <row r="1330" spans="1:1">
      <c r="A1330" s="1" t="str">
        <f>"15010361828"</f>
        <v>15010361828</v>
      </c>
    </row>
    <row r="1331" spans="1:1">
      <c r="A1331" s="1" t="str">
        <f>"13855897529"</f>
        <v>13855897529</v>
      </c>
    </row>
    <row r="1332" spans="1:1">
      <c r="A1332" s="1" t="str">
        <f>"18226349637"</f>
        <v>18226349637</v>
      </c>
    </row>
    <row r="1333" spans="1:1">
      <c r="A1333" s="1" t="str">
        <f>"15031894496"</f>
        <v>15031894496</v>
      </c>
    </row>
    <row r="1334" spans="1:1">
      <c r="A1334" s="1" t="str">
        <f>"13048857399"</f>
        <v>13048857399</v>
      </c>
    </row>
    <row r="1335" spans="1:1">
      <c r="A1335" s="1" t="str">
        <f>"13855873785"</f>
        <v>13855873785</v>
      </c>
    </row>
    <row r="1336" spans="1:1">
      <c r="A1336" s="1" t="str">
        <f>"13801227981"</f>
        <v>13801227981</v>
      </c>
    </row>
    <row r="1337" spans="1:1">
      <c r="A1337" s="1" t="str">
        <f>"13855807700"</f>
        <v>13855807700</v>
      </c>
    </row>
    <row r="1338" spans="1:1">
      <c r="A1338" s="1" t="str">
        <f>"13731638773"</f>
        <v>13731638773</v>
      </c>
    </row>
    <row r="1339" spans="1:1">
      <c r="A1339" s="1" t="str">
        <f>"13865873957"</f>
        <v>13865873957</v>
      </c>
    </row>
    <row r="1340" spans="1:1">
      <c r="A1340" s="1" t="str">
        <f>"17331374769"</f>
        <v>17331374769</v>
      </c>
    </row>
    <row r="1341" spans="1:1">
      <c r="A1341" s="1" t="str">
        <f>"18856841686"</f>
        <v>18856841686</v>
      </c>
    </row>
    <row r="1342" spans="1:1">
      <c r="A1342" s="1" t="str">
        <f>"13910151126"</f>
        <v>13910151126</v>
      </c>
    </row>
    <row r="1343" spans="1:1">
      <c r="A1343" s="1" t="str">
        <f>"13855808566"</f>
        <v>13855808566</v>
      </c>
    </row>
    <row r="1344" spans="1:1">
      <c r="A1344" s="1" t="str">
        <f>"15149748822"</f>
        <v>15149748822</v>
      </c>
    </row>
    <row r="1345" spans="1:1">
      <c r="A1345" s="1" t="str">
        <f>"17332699938"</f>
        <v>17332699938</v>
      </c>
    </row>
    <row r="1346" spans="1:1">
      <c r="A1346" s="1" t="str">
        <f>"13910602389"</f>
        <v>13910602389</v>
      </c>
    </row>
    <row r="1347" spans="1:1">
      <c r="A1347" s="1" t="str">
        <f>"18055856022"</f>
        <v>18055856022</v>
      </c>
    </row>
    <row r="1348" spans="1:1">
      <c r="A1348" s="1" t="str">
        <f>"13358835588"</f>
        <v>13358835588</v>
      </c>
    </row>
    <row r="1349" spans="1:1">
      <c r="A1349" s="1" t="str">
        <f>"13833759559"</f>
        <v>13833759559</v>
      </c>
    </row>
    <row r="1350" spans="1:1">
      <c r="A1350" s="1" t="str">
        <f>"15855580692"</f>
        <v>15855580692</v>
      </c>
    </row>
    <row r="1351" spans="1:1">
      <c r="A1351" s="1" t="str">
        <f>"15956827696"</f>
        <v>15956827696</v>
      </c>
    </row>
    <row r="1352" spans="1:1">
      <c r="A1352" s="1" t="str">
        <f>"13785496555"</f>
        <v>13785496555</v>
      </c>
    </row>
    <row r="1353" spans="1:1">
      <c r="A1353" s="1" t="str">
        <f>"13439063260"</f>
        <v>13439063260</v>
      </c>
    </row>
    <row r="1354" spans="1:1">
      <c r="A1354" s="1" t="str">
        <f>"15230610865"</f>
        <v>15230610865</v>
      </c>
    </row>
    <row r="1355" spans="1:1">
      <c r="A1355" s="1" t="str">
        <f>"13485129011"</f>
        <v>13485129011</v>
      </c>
    </row>
    <row r="1356" spans="1:1">
      <c r="A1356" s="1" t="str">
        <f>"18256818897"</f>
        <v>18256818897</v>
      </c>
    </row>
    <row r="1357" spans="1:1">
      <c r="A1357" s="1" t="str">
        <f>"15395585788"</f>
        <v>15395585788</v>
      </c>
    </row>
    <row r="1358" spans="1:1">
      <c r="A1358" s="1" t="str">
        <f>"13805580176"</f>
        <v>13805580176</v>
      </c>
    </row>
    <row r="1359" spans="1:1">
      <c r="A1359" s="1" t="str">
        <f>"15504533668"</f>
        <v>15504533668</v>
      </c>
    </row>
    <row r="1360" spans="1:1">
      <c r="A1360" s="1" t="str">
        <f>"13611243341"</f>
        <v>13611243341</v>
      </c>
    </row>
    <row r="1361" spans="1:1">
      <c r="A1361" s="1" t="str">
        <f>"13966549673"</f>
        <v>13966549673</v>
      </c>
    </row>
    <row r="1362" spans="1:1">
      <c r="A1362" s="1" t="str">
        <f>"18233686642"</f>
        <v>18233686642</v>
      </c>
    </row>
    <row r="1363" spans="1:1">
      <c r="A1363" s="1" t="str">
        <f>"15720385666"</f>
        <v>15720385666</v>
      </c>
    </row>
    <row r="1364" spans="1:1">
      <c r="A1364" s="1" t="str">
        <f>"17640639695"</f>
        <v>17640639695</v>
      </c>
    </row>
    <row r="1365" spans="1:1">
      <c r="A1365" s="1" t="str">
        <f>"18833789298"</f>
        <v>18833789298</v>
      </c>
    </row>
    <row r="1366" spans="1:1">
      <c r="A1366" s="1" t="str">
        <f>"15102264804"</f>
        <v>15102264804</v>
      </c>
    </row>
    <row r="1367" spans="1:1">
      <c r="A1367" s="1" t="str">
        <f>"13671038151"</f>
        <v>13671038151</v>
      </c>
    </row>
    <row r="1368" spans="1:1">
      <c r="A1368" s="1" t="str">
        <f>"15833799333"</f>
        <v>15833799333</v>
      </c>
    </row>
    <row r="1369" spans="1:1">
      <c r="A1369" s="1" t="str">
        <f>"18303175603"</f>
        <v>18303175603</v>
      </c>
    </row>
    <row r="1370" spans="1:1">
      <c r="A1370" s="1" t="str">
        <f>"18951008566"</f>
        <v>18951008566</v>
      </c>
    </row>
    <row r="1371" spans="1:1">
      <c r="A1371" s="1" t="str">
        <f>"18731779328"</f>
        <v>18731779328</v>
      </c>
    </row>
    <row r="1372" spans="1:1">
      <c r="A1372" s="1" t="str">
        <f>"18910722020"</f>
        <v>18910722020</v>
      </c>
    </row>
    <row r="1373" spans="1:1">
      <c r="A1373" s="1" t="str">
        <f>"15076771271"</f>
        <v>15076771271</v>
      </c>
    </row>
    <row r="1374" spans="1:1">
      <c r="A1374" s="1" t="str">
        <f>"13833620300"</f>
        <v>13833620300</v>
      </c>
    </row>
    <row r="1375" spans="1:1">
      <c r="A1375" s="1" t="str">
        <f>"18600705001"</f>
        <v>18600705001</v>
      </c>
    </row>
    <row r="1376" spans="1:1">
      <c r="A1376" s="1" t="str">
        <f>"13930295455"</f>
        <v>13930295455</v>
      </c>
    </row>
    <row r="1377" spans="1:1">
      <c r="A1377" s="1" t="str">
        <f>"13703260911"</f>
        <v>13703260911</v>
      </c>
    </row>
    <row r="1378" spans="1:1">
      <c r="A1378" s="1" t="str">
        <f>"13911752912"</f>
        <v>13911752912</v>
      </c>
    </row>
    <row r="1379" spans="1:1">
      <c r="A1379" s="1" t="str">
        <f>"13466792611"</f>
        <v>13466792611</v>
      </c>
    </row>
    <row r="1380" spans="1:1">
      <c r="A1380" s="1" t="str">
        <f>"13463210393"</f>
        <v>13463210393</v>
      </c>
    </row>
    <row r="1381" spans="1:1">
      <c r="A1381" s="1" t="str">
        <f>"13910145957"</f>
        <v>13910145957</v>
      </c>
    </row>
    <row r="1382" spans="1:1">
      <c r="A1382" s="1" t="str">
        <f>"17788238123"</f>
        <v>17788238123</v>
      </c>
    </row>
    <row r="1383" spans="1:1">
      <c r="A1383" s="1" t="str">
        <f>"15227218806"</f>
        <v>15227218806</v>
      </c>
    </row>
    <row r="1384" spans="1:1">
      <c r="A1384" s="1" t="str">
        <f>"15931831964"</f>
        <v>15931831964</v>
      </c>
    </row>
    <row r="1385" spans="1:1">
      <c r="A1385" s="1" t="str">
        <f>"13717733656"</f>
        <v>13717733656</v>
      </c>
    </row>
    <row r="1386" spans="1:1">
      <c r="A1386" s="1" t="str">
        <f>"15033239988"</f>
        <v>15033239988</v>
      </c>
    </row>
    <row r="1387" spans="1:1">
      <c r="A1387" s="1" t="str">
        <f>"13920162996"</f>
        <v>13920162996</v>
      </c>
    </row>
    <row r="1388" spans="1:1">
      <c r="A1388" s="1" t="str">
        <f>"18611368693"</f>
        <v>18611368693</v>
      </c>
    </row>
    <row r="1389" spans="1:1">
      <c r="A1389" s="1" t="str">
        <f>"18226116601"</f>
        <v>18226116601</v>
      </c>
    </row>
    <row r="1390" spans="1:1">
      <c r="A1390" s="1" t="str">
        <f>"13722210005"</f>
        <v>13722210005</v>
      </c>
    </row>
    <row r="1391" spans="1:1">
      <c r="A1391" s="1" t="str">
        <f>"15910558472"</f>
        <v>15910558472</v>
      </c>
    </row>
    <row r="1392" spans="1:1">
      <c r="A1392" s="1" t="str">
        <f>"15955871681"</f>
        <v>15955871681</v>
      </c>
    </row>
    <row r="1393" spans="1:1">
      <c r="A1393" s="1" t="str">
        <f>"18511822182"</f>
        <v>18511822182</v>
      </c>
    </row>
    <row r="1394" spans="1:1">
      <c r="A1394" s="1" t="str">
        <f>"18691202751"</f>
        <v>18691202751</v>
      </c>
    </row>
    <row r="1395" spans="1:1">
      <c r="A1395" s="1" t="str">
        <f>"15230613531"</f>
        <v>15230613531</v>
      </c>
    </row>
    <row r="1396" spans="1:1">
      <c r="A1396" s="1" t="str">
        <f>"13613779100"</f>
        <v>13613779100</v>
      </c>
    </row>
    <row r="1397" spans="1:1">
      <c r="A1397" s="1" t="str">
        <f>"15210491323"</f>
        <v>15210491323</v>
      </c>
    </row>
    <row r="1398" spans="1:1">
      <c r="A1398" s="1" t="str">
        <f>"19955807117"</f>
        <v>19955807117</v>
      </c>
    </row>
    <row r="1399" spans="1:1">
      <c r="A1399" s="1" t="str">
        <f>"18255802220"</f>
        <v>18255802220</v>
      </c>
    </row>
    <row r="1400" spans="1:1">
      <c r="A1400" s="1" t="str">
        <f>"18655846405"</f>
        <v>18655846405</v>
      </c>
    </row>
    <row r="1401" spans="1:1">
      <c r="A1401" s="1" t="str">
        <f>"13955898901"</f>
        <v>13955898901</v>
      </c>
    </row>
    <row r="1402" spans="1:1">
      <c r="A1402" s="1" t="str">
        <f>"18326836390"</f>
        <v>18326836390</v>
      </c>
    </row>
    <row r="1403" spans="1:1">
      <c r="A1403" s="1" t="str">
        <f>"18610945165"</f>
        <v>18610945165</v>
      </c>
    </row>
    <row r="1404" spans="1:1">
      <c r="A1404" s="1" t="str">
        <f>"13301165118"</f>
        <v>13301165118</v>
      </c>
    </row>
    <row r="1405" spans="1:1">
      <c r="A1405" s="1" t="str">
        <f>"18844982695"</f>
        <v>18844982695</v>
      </c>
    </row>
    <row r="1406" spans="1:1">
      <c r="A1406" s="1" t="str">
        <f>"13172122265"</f>
        <v>13172122265</v>
      </c>
    </row>
    <row r="1407" spans="1:1">
      <c r="A1407" s="1" t="str">
        <f>"13552001898"</f>
        <v>13552001898</v>
      </c>
    </row>
    <row r="1408" spans="1:1">
      <c r="A1408" s="1" t="str">
        <f>"13955836742"</f>
        <v>13955836742</v>
      </c>
    </row>
    <row r="1409" spans="1:1">
      <c r="A1409" s="1" t="str">
        <f>"15075677889"</f>
        <v>15075677889</v>
      </c>
    </row>
    <row r="1410" spans="1:1">
      <c r="A1410" s="1" t="str">
        <f>"15855787209"</f>
        <v>15855787209</v>
      </c>
    </row>
    <row r="1411" spans="1:1">
      <c r="A1411" s="1" t="str">
        <f>"13635683343"</f>
        <v>13635683343</v>
      </c>
    </row>
    <row r="1412" spans="1:1">
      <c r="A1412" s="1" t="str">
        <f>"17755858698"</f>
        <v>17755858698</v>
      </c>
    </row>
    <row r="1413" spans="1:1">
      <c r="A1413" s="1" t="str">
        <f>"15694830023"</f>
        <v>15694830023</v>
      </c>
    </row>
    <row r="1414" spans="1:1">
      <c r="A1414" s="1" t="str">
        <f>"15720586576"</f>
        <v>15720586576</v>
      </c>
    </row>
    <row r="1415" spans="1:1">
      <c r="A1415" s="1" t="str">
        <f>"15856853741"</f>
        <v>15856853741</v>
      </c>
    </row>
    <row r="1416" spans="1:1">
      <c r="A1416" s="1" t="str">
        <f>"13785647082"</f>
        <v>13785647082</v>
      </c>
    </row>
    <row r="1417" spans="1:1">
      <c r="A1417" s="1" t="str">
        <f>"18633618198"</f>
        <v>18633618198</v>
      </c>
    </row>
    <row r="1418" spans="1:1">
      <c r="A1418" s="1" t="str">
        <f>"13931664236"</f>
        <v>13931664236</v>
      </c>
    </row>
    <row r="1419" spans="1:1">
      <c r="A1419" s="1" t="str">
        <f>"13063386683"</f>
        <v>13063386683</v>
      </c>
    </row>
    <row r="1420" spans="1:1">
      <c r="A1420" s="1" t="str">
        <f>"13363657663"</f>
        <v>13363657663</v>
      </c>
    </row>
    <row r="1421" spans="1:1">
      <c r="A1421" s="1" t="str">
        <f>"13785606800"</f>
        <v>13785606800</v>
      </c>
    </row>
    <row r="1422" spans="1:1">
      <c r="A1422" s="1" t="str">
        <f>"15830624665"</f>
        <v>15830624665</v>
      </c>
    </row>
    <row r="1423" spans="1:1">
      <c r="A1423" s="1" t="str">
        <f>"15931613759"</f>
        <v>15931613759</v>
      </c>
    </row>
    <row r="1424" spans="1:1">
      <c r="A1424" s="1" t="str">
        <f>"15028688936"</f>
        <v>15028688936</v>
      </c>
    </row>
    <row r="1425" spans="1:1">
      <c r="A1425" s="1" t="str">
        <f>"15132682790"</f>
        <v>15132682790</v>
      </c>
    </row>
    <row r="1426" spans="1:1">
      <c r="A1426" s="1" t="str">
        <f>"13702037452"</f>
        <v>13702037452</v>
      </c>
    </row>
    <row r="1427" spans="1:1">
      <c r="A1427" s="1" t="str">
        <f>"18805601780"</f>
        <v>18805601780</v>
      </c>
    </row>
    <row r="1428" spans="1:1">
      <c r="A1428" s="1" t="str">
        <f>"13931619496"</f>
        <v>13931619496</v>
      </c>
    </row>
    <row r="1429" spans="1:1">
      <c r="A1429" s="1" t="str">
        <f>"13520878518"</f>
        <v>13520878518</v>
      </c>
    </row>
    <row r="1430" spans="1:1">
      <c r="A1430" s="1" t="str">
        <f>"15100659088"</f>
        <v>15100659088</v>
      </c>
    </row>
    <row r="1431" spans="1:1">
      <c r="A1431" s="1" t="str">
        <f>"13241222700"</f>
        <v>13241222700</v>
      </c>
    </row>
    <row r="1432" spans="1:1">
      <c r="A1432" s="1" t="str">
        <f>"15955853777"</f>
        <v>15955853777</v>
      </c>
    </row>
    <row r="1433" spans="1:1">
      <c r="A1433" s="1" t="str">
        <f>"13930604053"</f>
        <v>13930604053</v>
      </c>
    </row>
    <row r="1434" spans="1:1">
      <c r="A1434" s="1" t="str">
        <f>"13965562091"</f>
        <v>13965562091</v>
      </c>
    </row>
    <row r="1435" spans="1:1">
      <c r="A1435" s="1" t="str">
        <f>"15832683581"</f>
        <v>15832683581</v>
      </c>
    </row>
    <row r="1436" spans="1:1">
      <c r="A1436" s="1" t="str">
        <f>"13955885218"</f>
        <v>13955885218</v>
      </c>
    </row>
    <row r="1437" spans="1:1">
      <c r="A1437" s="1" t="str">
        <f>"18005686318"</f>
        <v>18005686318</v>
      </c>
    </row>
    <row r="1438" spans="1:1">
      <c r="A1438" s="1" t="str">
        <f>"13635586857"</f>
        <v>13635586857</v>
      </c>
    </row>
    <row r="1439" spans="1:1">
      <c r="A1439" s="1" t="str">
        <f>"15855822661"</f>
        <v>15855822661</v>
      </c>
    </row>
    <row r="1440" spans="1:1">
      <c r="A1440" s="1" t="str">
        <f>"15956850417"</f>
        <v>15956850417</v>
      </c>
    </row>
    <row r="1441" spans="1:1">
      <c r="A1441" s="1" t="str">
        <f>"17720037739"</f>
        <v>17720037739</v>
      </c>
    </row>
    <row r="1442" spans="1:1">
      <c r="A1442" s="1" t="str">
        <f>"13681412284"</f>
        <v>13681412284</v>
      </c>
    </row>
    <row r="1443" spans="1:1">
      <c r="A1443" s="1" t="str">
        <f>"13966581283"</f>
        <v>13966581283</v>
      </c>
    </row>
    <row r="1444" spans="1:1">
      <c r="A1444" s="1" t="str">
        <f>"18155863198"</f>
        <v>18155863198</v>
      </c>
    </row>
    <row r="1445" spans="1:1">
      <c r="A1445" s="1" t="str">
        <f>"13965737007"</f>
        <v>13965737007</v>
      </c>
    </row>
    <row r="1446" spans="1:1">
      <c r="A1446" s="1" t="str">
        <f>"18756871965"</f>
        <v>18756871965</v>
      </c>
    </row>
    <row r="1447" spans="1:1">
      <c r="A1447" s="1" t="str">
        <f>"15215587163"</f>
        <v>15215587163</v>
      </c>
    </row>
    <row r="1448" spans="1:1">
      <c r="A1448" s="1" t="str">
        <f>"15656068838"</f>
        <v>15656068838</v>
      </c>
    </row>
    <row r="1449" spans="1:1">
      <c r="A1449" s="1" t="str">
        <f>"18610291561"</f>
        <v>18610291561</v>
      </c>
    </row>
    <row r="1450" spans="1:1">
      <c r="A1450" s="1" t="str">
        <f>"13811084473"</f>
        <v>13811084473</v>
      </c>
    </row>
    <row r="1451" spans="1:1">
      <c r="A1451" s="1" t="str">
        <f>"18612168379"</f>
        <v>18612168379</v>
      </c>
    </row>
    <row r="1452" spans="1:1">
      <c r="A1452" s="1" t="str">
        <f>"18911601140"</f>
        <v>18911601140</v>
      </c>
    </row>
    <row r="1453" spans="1:1">
      <c r="A1453" s="1" t="str">
        <f>"13020099273"</f>
        <v>13020099273</v>
      </c>
    </row>
    <row r="1454" spans="1:1">
      <c r="A1454" s="1" t="str">
        <f>"13602016671"</f>
        <v>13602016671</v>
      </c>
    </row>
    <row r="1455" spans="1:1">
      <c r="A1455" s="1" t="str">
        <f>"13910738340"</f>
        <v>13910738340</v>
      </c>
    </row>
    <row r="1456" spans="1:1">
      <c r="A1456" s="1" t="str">
        <f>"18755863636"</f>
        <v>18755863636</v>
      </c>
    </row>
    <row r="1457" spans="1:1">
      <c r="A1457" s="1" t="str">
        <f>"15956717830"</f>
        <v>15956717830</v>
      </c>
    </row>
    <row r="1458" spans="1:1">
      <c r="A1458" s="1" t="str">
        <f>"13635688891"</f>
        <v>13635688891</v>
      </c>
    </row>
    <row r="1459" spans="1:1">
      <c r="A1459" s="1" t="str">
        <f>"13911171323"</f>
        <v>13911171323</v>
      </c>
    </row>
    <row r="1460" spans="1:1">
      <c r="A1460" s="1" t="str">
        <f>"18156869116"</f>
        <v>18156869116</v>
      </c>
    </row>
    <row r="1461" spans="1:1">
      <c r="A1461" s="1" t="str">
        <f>"17355871253"</f>
        <v>17355871253</v>
      </c>
    </row>
    <row r="1462" spans="1:1">
      <c r="A1462" s="1" t="str">
        <f>"13373895099"</f>
        <v>13373895099</v>
      </c>
    </row>
    <row r="1463" spans="1:1">
      <c r="A1463" s="1" t="str">
        <f>"13515570003"</f>
        <v>13515570003</v>
      </c>
    </row>
    <row r="1464" spans="1:1">
      <c r="A1464" s="1" t="str">
        <f>"19805699119"</f>
        <v>19805699119</v>
      </c>
    </row>
    <row r="1465" spans="1:1">
      <c r="A1465" s="1" t="str">
        <f>"13855898291"</f>
        <v>13855898291</v>
      </c>
    </row>
    <row r="1466" spans="1:1">
      <c r="A1466" s="1" t="str">
        <f>"13911283077"</f>
        <v>13911283077</v>
      </c>
    </row>
    <row r="1467" spans="1:1">
      <c r="A1467" s="1" t="str">
        <f>"13810809940"</f>
        <v>13810809940</v>
      </c>
    </row>
    <row r="1468" spans="1:1">
      <c r="A1468" s="1" t="str">
        <f>"13520824831"</f>
        <v>13520824831</v>
      </c>
    </row>
    <row r="1469" spans="1:1">
      <c r="A1469" s="1" t="str">
        <f>"18056792870"</f>
        <v>18056792870</v>
      </c>
    </row>
    <row r="1470" spans="1:1">
      <c r="A1470" s="1" t="str">
        <f>"15203261621"</f>
        <v>15203261621</v>
      </c>
    </row>
    <row r="1471" spans="1:1">
      <c r="A1471" s="1" t="str">
        <f>"18355887988"</f>
        <v>18355887988</v>
      </c>
    </row>
    <row r="1472" spans="1:1">
      <c r="A1472" s="1" t="str">
        <f>"18255818531"</f>
        <v>18255818531</v>
      </c>
    </row>
    <row r="1473" spans="1:1">
      <c r="A1473" s="1" t="str">
        <f>"15243306413"</f>
        <v>15243306413</v>
      </c>
    </row>
    <row r="1474" spans="1:1">
      <c r="A1474" s="1" t="str">
        <f>"13855878385"</f>
        <v>13855878385</v>
      </c>
    </row>
    <row r="1475" spans="1:1">
      <c r="A1475" s="1" t="str">
        <f>"13810284664"</f>
        <v>13810284664</v>
      </c>
    </row>
    <row r="1476" spans="1:1">
      <c r="A1476" s="1" t="str">
        <f>"16655187773"</f>
        <v>16655187773</v>
      </c>
    </row>
    <row r="1477" spans="1:1">
      <c r="A1477" s="1" t="str">
        <f>"13131657552"</f>
        <v>13131657552</v>
      </c>
    </row>
    <row r="1478" spans="1:1">
      <c r="A1478" s="1" t="str">
        <f>"18268687660"</f>
        <v>18268687660</v>
      </c>
    </row>
    <row r="1479" spans="1:1">
      <c r="A1479" s="1" t="str">
        <f>"13965746978"</f>
        <v>13965746978</v>
      </c>
    </row>
    <row r="1480" spans="1:1">
      <c r="A1480" s="1" t="str">
        <f>"15655787507"</f>
        <v>15655787507</v>
      </c>
    </row>
    <row r="1481" spans="1:1">
      <c r="A1481" s="1" t="str">
        <f>"18909688389"</f>
        <v>18909688389</v>
      </c>
    </row>
    <row r="1482" spans="1:1">
      <c r="A1482" s="1" t="str">
        <f>"18326722992"</f>
        <v>18326722992</v>
      </c>
    </row>
    <row r="1483" spans="1:1">
      <c r="A1483" s="1" t="str">
        <f>"13511637959"</f>
        <v>13511637959</v>
      </c>
    </row>
    <row r="1484" spans="1:1">
      <c r="A1484" s="1" t="str">
        <f>"19156830187"</f>
        <v>19156830187</v>
      </c>
    </row>
    <row r="1485" spans="1:1">
      <c r="A1485" s="1" t="str">
        <f>"18235589602"</f>
        <v>18235589602</v>
      </c>
    </row>
    <row r="1486" spans="1:1">
      <c r="A1486" s="1" t="str">
        <f>"15155814689"</f>
        <v>15155814689</v>
      </c>
    </row>
    <row r="1487" spans="1:1">
      <c r="A1487" s="1" t="str">
        <f>"18756831020"</f>
        <v>18756831020</v>
      </c>
    </row>
    <row r="1488" spans="1:1">
      <c r="A1488" s="1" t="str">
        <f>"13855829972"</f>
        <v>13855829972</v>
      </c>
    </row>
    <row r="1489" spans="1:1">
      <c r="A1489" s="1" t="str">
        <f>"13672788997"</f>
        <v>13672788997</v>
      </c>
    </row>
    <row r="1490" spans="1:1">
      <c r="A1490" s="1" t="str">
        <f>"15755827176"</f>
        <v>15755827176</v>
      </c>
    </row>
    <row r="1491" spans="1:1">
      <c r="A1491" s="1" t="str">
        <f>"18226230973"</f>
        <v>18226230973</v>
      </c>
    </row>
    <row r="1492" spans="1:1">
      <c r="A1492" s="1" t="str">
        <f>"18609694789"</f>
        <v>18609694789</v>
      </c>
    </row>
    <row r="1493" spans="1:1">
      <c r="A1493" s="1" t="str">
        <f>"18256825580"</f>
        <v>18256825580</v>
      </c>
    </row>
    <row r="1494" spans="1:1">
      <c r="A1494" s="1" t="str">
        <f>"18055816321"</f>
        <v>18055816321</v>
      </c>
    </row>
    <row r="1495" spans="1:1">
      <c r="A1495" s="1" t="str">
        <f>"13599952727"</f>
        <v>13599952727</v>
      </c>
    </row>
    <row r="1496" spans="1:1">
      <c r="A1496" s="1" t="str">
        <f>"15955894835"</f>
        <v>15955894835</v>
      </c>
    </row>
    <row r="1497" spans="1:1">
      <c r="A1497" s="1" t="str">
        <f>"19965893528"</f>
        <v>19965893528</v>
      </c>
    </row>
    <row r="1498" spans="1:1">
      <c r="A1498" s="1" t="str">
        <f>"15385811119"</f>
        <v>15385811119</v>
      </c>
    </row>
    <row r="1499" spans="1:1">
      <c r="A1499" s="1" t="str">
        <f>"15055543399"</f>
        <v>15055543399</v>
      </c>
    </row>
    <row r="1500" spans="1:1">
      <c r="A1500" s="1" t="str">
        <f>"13593229172"</f>
        <v>13593229172</v>
      </c>
    </row>
    <row r="1501" spans="1:1">
      <c r="A1501" s="1" t="str">
        <f>"13381065488"</f>
        <v>13381065488</v>
      </c>
    </row>
    <row r="1502" spans="1:1">
      <c r="A1502" s="1" t="str">
        <f>"18935453077"</f>
        <v>18935453077</v>
      </c>
    </row>
    <row r="1503" spans="1:1">
      <c r="A1503" s="1" t="str">
        <f>"15810472977"</f>
        <v>15810472977</v>
      </c>
    </row>
    <row r="1504" spans="1:1">
      <c r="A1504" s="1" t="str">
        <f>"13703543897"</f>
        <v>13703543897</v>
      </c>
    </row>
    <row r="1505" spans="1:1">
      <c r="A1505" s="1" t="str">
        <f>"18535429088"</f>
        <v>18535429088</v>
      </c>
    </row>
    <row r="1506" spans="1:1">
      <c r="A1506" s="1" t="str">
        <f>"13439059696"</f>
        <v>13439059696</v>
      </c>
    </row>
    <row r="1507" spans="1:1">
      <c r="A1507" s="1" t="str">
        <f>"15932605469"</f>
        <v>15932605469</v>
      </c>
    </row>
    <row r="1508" spans="1:1">
      <c r="A1508" s="1" t="str">
        <f>"18522363547"</f>
        <v>18522363547</v>
      </c>
    </row>
    <row r="1509" spans="1:1">
      <c r="A1509" s="1" t="str">
        <f>"16603264488"</f>
        <v>16603264488</v>
      </c>
    </row>
    <row r="1510" spans="1:1">
      <c r="A1510" s="1" t="str">
        <f>"13596877396"</f>
        <v>13596877396</v>
      </c>
    </row>
    <row r="1511" spans="1:1">
      <c r="A1511" s="1" t="str">
        <f>"15230208594"</f>
        <v>15230208594</v>
      </c>
    </row>
    <row r="1512" spans="1:1">
      <c r="A1512" s="1" t="str">
        <f>"15832500721"</f>
        <v>15832500721</v>
      </c>
    </row>
    <row r="1513" spans="1:1">
      <c r="A1513" s="1" t="str">
        <f>"13349282330"</f>
        <v>13349282330</v>
      </c>
    </row>
    <row r="1514" spans="1:1">
      <c r="A1514" s="1" t="str">
        <f>"17732608813"</f>
        <v>17732608813</v>
      </c>
    </row>
    <row r="1515" spans="1:1">
      <c r="A1515" s="1" t="str">
        <f>"18033630543"</f>
        <v>18033630543</v>
      </c>
    </row>
    <row r="1516" spans="1:1">
      <c r="A1516" s="1" t="str">
        <f>"18131603905"</f>
        <v>18131603905</v>
      </c>
    </row>
    <row r="1517" spans="1:1">
      <c r="A1517" s="1" t="str">
        <f>"15201107092"</f>
        <v>15201107092</v>
      </c>
    </row>
    <row r="1518" spans="1:1">
      <c r="A1518" s="1" t="str">
        <f>"15142892037"</f>
        <v>15142892037</v>
      </c>
    </row>
    <row r="1519" spans="1:1">
      <c r="A1519" s="1" t="str">
        <f>"15175301791"</f>
        <v>15175301791</v>
      </c>
    </row>
    <row r="1520" spans="1:1">
      <c r="A1520" s="1" t="str">
        <f>"13633225520"</f>
        <v>13633225520</v>
      </c>
    </row>
    <row r="1521" spans="1:1">
      <c r="A1521" s="1" t="str">
        <f>"15188938500"</f>
        <v>15188938500</v>
      </c>
    </row>
    <row r="1522" spans="1:1">
      <c r="A1522" s="1" t="str">
        <f>"17611441217"</f>
        <v>17611441217</v>
      </c>
    </row>
    <row r="1523" spans="1:1">
      <c r="A1523" s="1" t="str">
        <f>"15128550831"</f>
        <v>15128550831</v>
      </c>
    </row>
    <row r="1524" spans="1:1">
      <c r="A1524" s="1" t="str">
        <f>"13699233371"</f>
        <v>13699233371</v>
      </c>
    </row>
    <row r="1525" spans="1:1">
      <c r="A1525" s="1" t="str">
        <f>"13516222723"</f>
        <v>13516222723</v>
      </c>
    </row>
    <row r="1526" spans="1:1">
      <c r="A1526" s="1" t="str">
        <f>"13051100008"</f>
        <v>13051100008</v>
      </c>
    </row>
    <row r="1527" spans="1:1">
      <c r="A1527" s="1" t="str">
        <f>"13700363691"</f>
        <v>13700363691</v>
      </c>
    </row>
    <row r="1528" spans="1:1">
      <c r="A1528" s="1" t="str">
        <f>"13170041683"</f>
        <v>13170041683</v>
      </c>
    </row>
    <row r="1529" spans="1:1">
      <c r="A1529" s="1" t="str">
        <f>"18612516538"</f>
        <v>18612516538</v>
      </c>
    </row>
    <row r="1530" spans="1:1">
      <c r="A1530" s="1" t="str">
        <f>"15110107492"</f>
        <v>15110107492</v>
      </c>
    </row>
    <row r="1531" spans="1:1">
      <c r="A1531" s="1" t="str">
        <f>"13831632555"</f>
        <v>13831632555</v>
      </c>
    </row>
    <row r="1532" spans="1:1">
      <c r="A1532" s="1" t="str">
        <f>"15002230678"</f>
        <v>15002230678</v>
      </c>
    </row>
    <row r="1533" spans="1:1">
      <c r="A1533" s="1" t="str">
        <f>"15932064652"</f>
        <v>15932064652</v>
      </c>
    </row>
    <row r="1534" spans="1:1">
      <c r="A1534" s="1" t="str">
        <f>"18608603599"</f>
        <v>18608603599</v>
      </c>
    </row>
    <row r="1535" spans="1:1">
      <c r="A1535" s="1" t="str">
        <f>"18531633771"</f>
        <v>18531633771</v>
      </c>
    </row>
    <row r="1536" spans="1:1">
      <c r="A1536" s="1" t="str">
        <f>"13932679758"</f>
        <v>13932679758</v>
      </c>
    </row>
    <row r="1537" spans="1:1">
      <c r="A1537" s="1" t="str">
        <f>"13785684095"</f>
        <v>13785684095</v>
      </c>
    </row>
    <row r="1538" spans="1:1">
      <c r="A1538" s="1" t="str">
        <f>"18920696011"</f>
        <v>18920696011</v>
      </c>
    </row>
    <row r="1539" spans="1:1">
      <c r="A1539" s="1" t="str">
        <f>"18931676626"</f>
        <v>18931676626</v>
      </c>
    </row>
    <row r="1540" spans="1:1">
      <c r="A1540" s="1" t="str">
        <f>"13500450992"</f>
        <v>13500450992</v>
      </c>
    </row>
    <row r="1541" spans="1:1">
      <c r="A1541" s="1" t="str">
        <f>"13503265520"</f>
        <v>13503265520</v>
      </c>
    </row>
    <row r="1542" spans="1:1">
      <c r="A1542" s="1" t="str">
        <f>"18730732098"</f>
        <v>18730732098</v>
      </c>
    </row>
    <row r="1543" spans="1:1">
      <c r="A1543" s="1" t="str">
        <f>"18902162095"</f>
        <v>18902162095</v>
      </c>
    </row>
    <row r="1544" spans="1:1">
      <c r="A1544" s="1" t="str">
        <f>"13653170110"</f>
        <v>13653170110</v>
      </c>
    </row>
    <row r="1545" spans="1:1">
      <c r="A1545" s="1" t="str">
        <f>"13363675250"</f>
        <v>13363675250</v>
      </c>
    </row>
    <row r="1546" spans="1:1">
      <c r="A1546" s="1" t="str">
        <f>"13082072533"</f>
        <v>13082072533</v>
      </c>
    </row>
    <row r="1547" spans="1:1">
      <c r="A1547" s="1" t="str">
        <f>"15510758385"</f>
        <v>15510758385</v>
      </c>
    </row>
    <row r="1548" spans="1:1">
      <c r="A1548" s="1" t="str">
        <f>"18301612217"</f>
        <v>18301612217</v>
      </c>
    </row>
    <row r="1549" spans="1:1">
      <c r="A1549" s="1" t="str">
        <f>"15132799203"</f>
        <v>15132799203</v>
      </c>
    </row>
    <row r="1550" spans="1:1">
      <c r="A1550" s="1" t="str">
        <f>"13730366134"</f>
        <v>13730366134</v>
      </c>
    </row>
    <row r="1551" spans="1:1">
      <c r="A1551" s="1" t="str">
        <f>"15630758687"</f>
        <v>15630758687</v>
      </c>
    </row>
    <row r="1552" spans="1:1">
      <c r="A1552" s="1" t="str">
        <f>"15104295345"</f>
        <v>15104295345</v>
      </c>
    </row>
    <row r="1553" spans="1:1">
      <c r="A1553" s="1" t="str">
        <f>"13466546002"</f>
        <v>13466546002</v>
      </c>
    </row>
    <row r="1554" spans="1:1">
      <c r="A1554" s="1" t="str">
        <f>"18214628605"</f>
        <v>18214628605</v>
      </c>
    </row>
    <row r="1555" spans="1:1">
      <c r="A1555" s="1" t="str">
        <f>"13901080984"</f>
        <v>13901080984</v>
      </c>
    </row>
    <row r="1556" spans="1:1">
      <c r="A1556" s="1" t="str">
        <f>"15955853768"</f>
        <v>15955853768</v>
      </c>
    </row>
    <row r="1557" spans="1:1">
      <c r="A1557" s="1" t="str">
        <f>"13230794949"</f>
        <v>13230794949</v>
      </c>
    </row>
    <row r="1558" spans="1:1">
      <c r="A1558" s="1" t="str">
        <f>"13230767237"</f>
        <v>13230767237</v>
      </c>
    </row>
    <row r="1559" spans="1:1">
      <c r="A1559" s="1" t="str">
        <f>"15233690111"</f>
        <v>15233690111</v>
      </c>
    </row>
    <row r="1560" spans="1:1">
      <c r="A1560" s="1" t="str">
        <f>"13705586501"</f>
        <v>13705586501</v>
      </c>
    </row>
    <row r="1561" spans="1:1">
      <c r="A1561" s="1" t="str">
        <f>"13605580193"</f>
        <v>13605580193</v>
      </c>
    </row>
    <row r="1562" spans="1:1">
      <c r="A1562" s="1" t="str">
        <f>"18342983520"</f>
        <v>18342983520</v>
      </c>
    </row>
    <row r="1563" spans="1:1">
      <c r="A1563" s="1" t="str">
        <f>"13611030377"</f>
        <v>13611030377</v>
      </c>
    </row>
    <row r="1564" spans="1:1">
      <c r="A1564" s="1" t="str">
        <f>"13373269782"</f>
        <v>13373269782</v>
      </c>
    </row>
    <row r="1565" spans="1:1">
      <c r="A1565" s="1" t="str">
        <f>"17705689008"</f>
        <v>17705689008</v>
      </c>
    </row>
    <row r="1566" spans="1:1">
      <c r="A1566" s="1" t="str">
        <f>"15369118883"</f>
        <v>15369118883</v>
      </c>
    </row>
    <row r="1567" spans="1:1">
      <c r="A1567" s="1" t="str">
        <f>"18631639560"</f>
        <v>18631639560</v>
      </c>
    </row>
    <row r="1568" spans="1:1">
      <c r="A1568" s="1" t="str">
        <f>"13515583693"</f>
        <v>13515583693</v>
      </c>
    </row>
    <row r="1569" spans="1:1">
      <c r="A1569" s="1" t="str">
        <f>"15127671888"</f>
        <v>15127671888</v>
      </c>
    </row>
    <row r="1570" spans="1:1">
      <c r="A1570" s="1" t="str">
        <f>"13020075464"</f>
        <v>13020075464</v>
      </c>
    </row>
    <row r="1571" spans="1:1">
      <c r="A1571" s="1" t="str">
        <f>"18232685153"</f>
        <v>18232685153</v>
      </c>
    </row>
    <row r="1572" spans="1:1">
      <c r="A1572" s="1" t="str">
        <f>"13703263192"</f>
        <v>13703263192</v>
      </c>
    </row>
    <row r="1573" spans="1:1">
      <c r="A1573" s="1" t="str">
        <f>"15133605770"</f>
        <v>15133605770</v>
      </c>
    </row>
    <row r="1574" spans="1:1">
      <c r="A1574" s="1" t="str">
        <f>"15566757093"</f>
        <v>15566757093</v>
      </c>
    </row>
    <row r="1575" spans="1:1">
      <c r="A1575" s="1" t="str">
        <f>"13466518537"</f>
        <v>13466518537</v>
      </c>
    </row>
    <row r="1576" spans="1:1">
      <c r="A1576" s="1" t="str">
        <f>"15631653272"</f>
        <v>15631653272</v>
      </c>
    </row>
    <row r="1577" spans="1:1">
      <c r="A1577" s="1" t="str">
        <f>"18801494057"</f>
        <v>18801494057</v>
      </c>
    </row>
    <row r="1578" spans="1:1">
      <c r="A1578" s="1" t="str">
        <f>"15081680382"</f>
        <v>15081680382</v>
      </c>
    </row>
    <row r="1579" spans="1:1">
      <c r="A1579" s="1" t="str">
        <f>"18610869243"</f>
        <v>18610869243</v>
      </c>
    </row>
    <row r="1580" spans="1:1">
      <c r="A1580" s="1" t="str">
        <f>"18611770386"</f>
        <v>18611770386</v>
      </c>
    </row>
    <row r="1581" spans="1:1">
      <c r="A1581" s="1" t="str">
        <f>"13784789435"</f>
        <v>13784789435</v>
      </c>
    </row>
    <row r="1582" spans="1:1">
      <c r="A1582" s="1" t="str">
        <f>"13705581628"</f>
        <v>13705581628</v>
      </c>
    </row>
    <row r="1583" spans="1:1">
      <c r="A1583" s="1" t="str">
        <f>"13625585975"</f>
        <v>13625585975</v>
      </c>
    </row>
    <row r="1584" spans="1:1">
      <c r="A1584" s="1" t="str">
        <f>"13521226921"</f>
        <v>13521226921</v>
      </c>
    </row>
    <row r="1585" spans="1:1">
      <c r="A1585" s="1" t="str">
        <f>"18613263506"</f>
        <v>18613263506</v>
      </c>
    </row>
    <row r="1586" spans="1:1">
      <c r="A1586" s="1" t="str">
        <f>"13956687758"</f>
        <v>13956687758</v>
      </c>
    </row>
    <row r="1587" spans="1:1">
      <c r="A1587" s="1" t="str">
        <f>"18710178718"</f>
        <v>18710178718</v>
      </c>
    </row>
    <row r="1588" spans="1:1">
      <c r="A1588" s="1" t="str">
        <f>"13220192348"</f>
        <v>13220192348</v>
      </c>
    </row>
    <row r="1589" spans="1:1">
      <c r="A1589" s="1" t="str">
        <f>"15110181278"</f>
        <v>15110181278</v>
      </c>
    </row>
    <row r="1590" spans="1:1">
      <c r="A1590" s="1" t="str">
        <f>"15210132713"</f>
        <v>15210132713</v>
      </c>
    </row>
    <row r="1591" spans="1:1">
      <c r="A1591" s="1" t="str">
        <f>"15227393431"</f>
        <v>15227393431</v>
      </c>
    </row>
    <row r="1592" spans="1:1">
      <c r="A1592" s="1" t="str">
        <f>"18225681158"</f>
        <v>18225681158</v>
      </c>
    </row>
    <row r="1593" spans="1:1">
      <c r="A1593" s="1" t="str">
        <f>"15028511220"</f>
        <v>15028511220</v>
      </c>
    </row>
    <row r="1594" spans="1:1">
      <c r="A1594" s="1" t="str">
        <f>"15127649474"</f>
        <v>15127649474</v>
      </c>
    </row>
    <row r="1595" spans="1:1">
      <c r="A1595" s="1" t="str">
        <f>"13488786675"</f>
        <v>13488786675</v>
      </c>
    </row>
    <row r="1596" spans="1:1">
      <c r="A1596" s="1" t="str">
        <f>"18733630393"</f>
        <v>18733630393</v>
      </c>
    </row>
    <row r="1597" spans="1:1">
      <c r="A1597" s="1" t="str">
        <f>"13463600896"</f>
        <v>13463600896</v>
      </c>
    </row>
    <row r="1598" spans="1:1">
      <c r="A1598" s="1" t="str">
        <f>"15230675892"</f>
        <v>15230675892</v>
      </c>
    </row>
    <row r="1599" spans="1:1">
      <c r="A1599" s="1" t="str">
        <f>"17772660906"</f>
        <v>17772660906</v>
      </c>
    </row>
    <row r="1600" spans="1:1">
      <c r="A1600" s="1" t="str">
        <f>"13682114710"</f>
        <v>13682114710</v>
      </c>
    </row>
    <row r="1601" spans="1:1">
      <c r="A1601" s="1" t="str">
        <f>"15998460528"</f>
        <v>15998460528</v>
      </c>
    </row>
    <row r="1602" spans="1:1">
      <c r="A1602" s="1" t="str">
        <f>"15255887068"</f>
        <v>15255887068</v>
      </c>
    </row>
    <row r="1603" spans="1:1">
      <c r="A1603" s="1" t="str">
        <f>"18632671605"</f>
        <v>18632671605</v>
      </c>
    </row>
    <row r="1604" spans="1:1">
      <c r="A1604" s="1" t="str">
        <f>"18031618596"</f>
        <v>18031618596</v>
      </c>
    </row>
    <row r="1605" spans="1:1">
      <c r="A1605" s="1" t="str">
        <f>"13501101745"</f>
        <v>13501101745</v>
      </c>
    </row>
    <row r="1606" spans="1:1">
      <c r="A1606" s="1" t="str">
        <f>"18034468912"</f>
        <v>18034468912</v>
      </c>
    </row>
    <row r="1607" spans="1:1">
      <c r="A1607" s="1" t="str">
        <f>"18901050892"</f>
        <v>18901050892</v>
      </c>
    </row>
    <row r="1608" spans="1:1">
      <c r="A1608" s="1" t="str">
        <f>"18611978737"</f>
        <v>18611978737</v>
      </c>
    </row>
    <row r="1609" spans="1:1">
      <c r="A1609" s="1" t="str">
        <f>"13910958365"</f>
        <v>13910958365</v>
      </c>
    </row>
    <row r="1610" spans="1:1">
      <c r="A1610" s="1" t="str">
        <f>"15132626503"</f>
        <v>15132626503</v>
      </c>
    </row>
    <row r="1611" spans="1:1">
      <c r="A1611" s="1" t="str">
        <f>"13932605084"</f>
        <v>13932605084</v>
      </c>
    </row>
    <row r="1612" spans="1:1">
      <c r="A1612" s="1" t="str">
        <f>"18932605582"</f>
        <v>18932605582</v>
      </c>
    </row>
    <row r="1613" spans="1:1">
      <c r="A1613" s="1" t="str">
        <f>"13931623168"</f>
        <v>13931623168</v>
      </c>
    </row>
    <row r="1614" spans="1:1">
      <c r="A1614" s="1" t="str">
        <f>"15824467980"</f>
        <v>15824467980</v>
      </c>
    </row>
    <row r="1615" spans="1:1">
      <c r="A1615" s="1" t="str">
        <f>"18269940676"</f>
        <v>18269940676</v>
      </c>
    </row>
    <row r="1616" spans="1:1">
      <c r="A1616" s="1" t="str">
        <f>"15011594203"</f>
        <v>15011594203</v>
      </c>
    </row>
    <row r="1617" spans="1:1">
      <c r="A1617" s="1" t="str">
        <f>"15075641349"</f>
        <v>15075641349</v>
      </c>
    </row>
    <row r="1618" spans="1:1">
      <c r="A1618" s="1" t="str">
        <f>"13903262245"</f>
        <v>13903262245</v>
      </c>
    </row>
    <row r="1619" spans="1:1">
      <c r="A1619" s="1" t="str">
        <f>"13172156656"</f>
        <v>13172156656</v>
      </c>
    </row>
    <row r="1620" spans="1:1">
      <c r="A1620" s="1" t="str">
        <f>"15141982789"</f>
        <v>15141982789</v>
      </c>
    </row>
    <row r="1621" spans="1:1">
      <c r="A1621" s="1" t="str">
        <f>"15076626930"</f>
        <v>15076626930</v>
      </c>
    </row>
    <row r="1622" spans="1:1">
      <c r="A1622" s="1" t="str">
        <f>"15903269103"</f>
        <v>15903269103</v>
      </c>
    </row>
    <row r="1623" spans="1:1">
      <c r="A1623" s="1" t="str">
        <f>"15715586251"</f>
        <v>15715586251</v>
      </c>
    </row>
    <row r="1624" spans="1:1">
      <c r="A1624" s="1" t="str">
        <f>"15055886745"</f>
        <v>15055886745</v>
      </c>
    </row>
    <row r="1625" spans="1:1">
      <c r="A1625" s="1" t="str">
        <f>"17701246314"</f>
        <v>17701246314</v>
      </c>
    </row>
    <row r="1626" spans="1:1">
      <c r="A1626" s="1" t="str">
        <f>"18355881809"</f>
        <v>18355881809</v>
      </c>
    </row>
    <row r="1627" spans="1:1">
      <c r="A1627" s="1" t="str">
        <f>"13681079319"</f>
        <v>13681079319</v>
      </c>
    </row>
    <row r="1628" spans="1:1">
      <c r="A1628" s="1" t="str">
        <f>"13955808153"</f>
        <v>13955808153</v>
      </c>
    </row>
    <row r="1629" spans="1:1">
      <c r="A1629" s="1" t="str">
        <f>"13582669099"</f>
        <v>13582669099</v>
      </c>
    </row>
    <row r="1630" spans="1:1">
      <c r="A1630" s="1" t="str">
        <f>"15215687618"</f>
        <v>15215687618</v>
      </c>
    </row>
    <row r="1631" spans="1:1">
      <c r="A1631" s="1" t="str">
        <f>"13651772528"</f>
        <v>13651772528</v>
      </c>
    </row>
    <row r="1632" spans="1:1">
      <c r="A1632" s="1" t="str">
        <f>"15956887629"</f>
        <v>15956887629</v>
      </c>
    </row>
    <row r="1633" spans="1:1">
      <c r="A1633" s="1" t="str">
        <f>"18515153025"</f>
        <v>18515153025</v>
      </c>
    </row>
    <row r="1634" spans="1:1">
      <c r="A1634" s="1" t="str">
        <f>"18755887783"</f>
        <v>18755887783</v>
      </c>
    </row>
    <row r="1635" spans="1:1">
      <c r="A1635" s="1" t="str">
        <f>"13735829885"</f>
        <v>13735829885</v>
      </c>
    </row>
    <row r="1636" spans="1:1">
      <c r="A1636" s="1" t="str">
        <f>"13965588661"</f>
        <v>13965588661</v>
      </c>
    </row>
    <row r="1637" spans="1:1">
      <c r="A1637" s="1" t="str">
        <f>"13521059049"</f>
        <v>13521059049</v>
      </c>
    </row>
    <row r="1638" spans="1:1">
      <c r="A1638" s="1" t="str">
        <f>"13705586921"</f>
        <v>13705586921</v>
      </c>
    </row>
    <row r="1639" spans="1:1">
      <c r="A1639" s="1" t="str">
        <f>"15255827097"</f>
        <v>15255827097</v>
      </c>
    </row>
    <row r="1640" spans="1:1">
      <c r="A1640" s="1" t="str">
        <f>"15110089426"</f>
        <v>15110089426</v>
      </c>
    </row>
    <row r="1641" spans="1:1">
      <c r="A1641" s="1" t="str">
        <f>"18612363454"</f>
        <v>18612363454</v>
      </c>
    </row>
    <row r="1642" spans="1:1">
      <c r="A1642" s="1" t="str">
        <f>"15357693505"</f>
        <v>15357693505</v>
      </c>
    </row>
    <row r="1643" spans="1:1">
      <c r="A1643" s="1" t="str">
        <f>"19525251626"</f>
        <v>19525251626</v>
      </c>
    </row>
    <row r="1644" spans="1:1">
      <c r="A1644" s="1" t="str">
        <f>"15005582920"</f>
        <v>15005582920</v>
      </c>
    </row>
    <row r="1645" spans="1:1">
      <c r="A1645" s="1" t="str">
        <f>"15910896986"</f>
        <v>15910896986</v>
      </c>
    </row>
    <row r="1646" spans="1:1">
      <c r="A1646" s="1" t="str">
        <f>"13855828872"</f>
        <v>13855828872</v>
      </c>
    </row>
    <row r="1647" spans="1:1">
      <c r="A1647" s="1" t="str">
        <f>"18321807528"</f>
        <v>18321807528</v>
      </c>
    </row>
    <row r="1648" spans="1:1">
      <c r="A1648" s="1" t="str">
        <f>"13703168870"</f>
        <v>13703168870</v>
      </c>
    </row>
    <row r="1649" spans="1:1">
      <c r="A1649" s="1" t="str">
        <f>"13731769909"</f>
        <v>13731769909</v>
      </c>
    </row>
    <row r="1650" spans="1:1">
      <c r="A1650" s="1" t="str">
        <f>"15201104425"</f>
        <v>15201104425</v>
      </c>
    </row>
    <row r="1651" spans="1:1">
      <c r="A1651" s="1" t="str">
        <f>"18001120010"</f>
        <v>18001120010</v>
      </c>
    </row>
    <row r="1652" spans="1:1">
      <c r="A1652" s="1" t="str">
        <f>"18306202918"</f>
        <v>18306202918</v>
      </c>
    </row>
    <row r="1653" spans="1:1">
      <c r="A1653" s="1" t="str">
        <f>"13126968527"</f>
        <v>13126968527</v>
      </c>
    </row>
    <row r="1654" spans="1:1">
      <c r="A1654" s="1" t="str">
        <f>"18055832050"</f>
        <v>18055832050</v>
      </c>
    </row>
    <row r="1655" spans="1:1">
      <c r="A1655" s="1" t="str">
        <f>"18730689881"</f>
        <v>18730689881</v>
      </c>
    </row>
    <row r="1656" spans="1:1">
      <c r="A1656" s="1" t="str">
        <f>"13681139915"</f>
        <v>13681139915</v>
      </c>
    </row>
    <row r="1657" spans="1:1">
      <c r="A1657" s="1" t="str">
        <f>"15902103897"</f>
        <v>15902103897</v>
      </c>
    </row>
    <row r="1658" spans="1:1">
      <c r="A1658" s="1" t="str">
        <f>"13171948776"</f>
        <v>13171948776</v>
      </c>
    </row>
    <row r="1659" spans="1:1">
      <c r="A1659" s="1" t="str">
        <f>"18056977072"</f>
        <v>18056977072</v>
      </c>
    </row>
    <row r="1660" spans="1:1">
      <c r="A1660" s="1" t="str">
        <f>"13754463431"</f>
        <v>13754463431</v>
      </c>
    </row>
    <row r="1661" spans="1:1">
      <c r="A1661" s="1" t="str">
        <f>"13785671443"</f>
        <v>13785671443</v>
      </c>
    </row>
    <row r="1662" spans="1:1">
      <c r="A1662" s="1" t="str">
        <f>"18731618805"</f>
        <v>18731618805</v>
      </c>
    </row>
    <row r="1663" spans="1:1">
      <c r="A1663" s="1" t="str">
        <f>"18611944564"</f>
        <v>18611944564</v>
      </c>
    </row>
    <row r="1664" spans="1:1">
      <c r="A1664" s="1" t="str">
        <f>"15333248178"</f>
        <v>15333248178</v>
      </c>
    </row>
    <row r="1665" spans="1:1">
      <c r="A1665" s="1" t="str">
        <f>"15010695938"</f>
        <v>15010695938</v>
      </c>
    </row>
    <row r="1666" spans="1:1">
      <c r="A1666" s="1" t="str">
        <f>"18500507777"</f>
        <v>18500507777</v>
      </c>
    </row>
    <row r="1667" spans="1:1">
      <c r="A1667" s="1" t="str">
        <f>"15930168110"</f>
        <v>15930168110</v>
      </c>
    </row>
    <row r="1668" spans="1:1">
      <c r="A1668" s="1" t="str">
        <f>"17358757911"</f>
        <v>17358757911</v>
      </c>
    </row>
    <row r="1669" spans="1:1">
      <c r="A1669" s="1" t="str">
        <f>"18255890800"</f>
        <v>18255890800</v>
      </c>
    </row>
    <row r="1670" spans="1:1">
      <c r="A1670" s="1" t="str">
        <f>"18932679688"</f>
        <v>18932679688</v>
      </c>
    </row>
    <row r="1671" spans="1:1">
      <c r="A1671" s="1" t="str">
        <f>"13931609857"</f>
        <v>13931609857</v>
      </c>
    </row>
    <row r="1672" spans="1:1">
      <c r="A1672" s="1" t="str">
        <f>"18844996927"</f>
        <v>18844996927</v>
      </c>
    </row>
    <row r="1673" spans="1:1">
      <c r="A1673" s="1" t="str">
        <f>"15010695938"</f>
        <v>15010695938</v>
      </c>
    </row>
    <row r="1674" spans="1:1">
      <c r="A1674" s="1" t="str">
        <f>"18955810607"</f>
        <v>18955810607</v>
      </c>
    </row>
    <row r="1675" spans="1:1">
      <c r="A1675" s="1" t="str">
        <f>"13075087480"</f>
        <v>13075087480</v>
      </c>
    </row>
    <row r="1676" spans="1:1">
      <c r="A1676" s="1" t="str">
        <f>"18734604415"</f>
        <v>18734604415</v>
      </c>
    </row>
    <row r="1677" spans="1:1">
      <c r="A1677" s="1" t="str">
        <f>"13966801006"</f>
        <v>13966801006</v>
      </c>
    </row>
    <row r="1678" spans="1:1">
      <c r="A1678" s="1" t="str">
        <f>"13866270726"</f>
        <v>13866270726</v>
      </c>
    </row>
    <row r="1679" spans="1:1">
      <c r="A1679" s="1" t="str">
        <f>"15385841888"</f>
        <v>15385841888</v>
      </c>
    </row>
    <row r="1680" spans="1:1">
      <c r="A1680" s="1" t="str">
        <f>"15551369653"</f>
        <v>15551369653</v>
      </c>
    </row>
    <row r="1681" spans="1:1">
      <c r="A1681" s="1" t="str">
        <f>"13381108276"</f>
        <v>13381108276</v>
      </c>
    </row>
    <row r="1682" spans="1:1">
      <c r="A1682" s="1" t="str">
        <f>"13665589768"</f>
        <v>13665589768</v>
      </c>
    </row>
    <row r="1683" spans="1:1">
      <c r="A1683" s="1" t="str">
        <f>"13771098679"</f>
        <v>13771098679</v>
      </c>
    </row>
    <row r="1684" spans="1:1">
      <c r="A1684" s="1" t="str">
        <f>"13955836116"</f>
        <v>13955836116</v>
      </c>
    </row>
    <row r="1685" spans="1:1">
      <c r="A1685" s="1" t="str">
        <f>"13866267899"</f>
        <v>13866267899</v>
      </c>
    </row>
    <row r="1686" spans="1:1">
      <c r="A1686" s="1" t="str">
        <f>"13866267899"</f>
        <v>13866267899</v>
      </c>
    </row>
    <row r="1687" spans="1:1">
      <c r="A1687" s="1" t="str">
        <f>"13635681330"</f>
        <v>13635681330</v>
      </c>
    </row>
    <row r="1688" spans="1:1">
      <c r="A1688" s="1" t="str">
        <f>"15856811129"</f>
        <v>15856811129</v>
      </c>
    </row>
    <row r="1689" spans="1:1">
      <c r="A1689" s="1" t="str">
        <f>"15810125250"</f>
        <v>15810125250</v>
      </c>
    </row>
    <row r="1690" spans="1:1">
      <c r="A1690" s="1" t="str">
        <f>"13605583295"</f>
        <v>13605583295</v>
      </c>
    </row>
    <row r="1691" spans="1:1">
      <c r="A1691" s="1" t="str">
        <f>"18832619509"</f>
        <v>18832619509</v>
      </c>
    </row>
    <row r="1692" spans="1:1">
      <c r="A1692" s="1" t="str">
        <f>"13965558293"</f>
        <v>13965558293</v>
      </c>
    </row>
    <row r="1693" spans="1:1">
      <c r="A1693" s="1" t="str">
        <f>"15551317766"</f>
        <v>15551317766</v>
      </c>
    </row>
    <row r="1694" spans="1:1">
      <c r="A1694" s="1" t="str">
        <f>"17310013382"</f>
        <v>17310013382</v>
      </c>
    </row>
    <row r="1695" spans="1:1">
      <c r="A1695" s="1" t="str">
        <f>"13805670361"</f>
        <v>13805670361</v>
      </c>
    </row>
    <row r="1696" spans="1:1">
      <c r="A1696" s="1" t="str">
        <f>"13955844103"</f>
        <v>13955844103</v>
      </c>
    </row>
    <row r="1697" spans="1:1">
      <c r="A1697" s="1" t="str">
        <f>"18155818116"</f>
        <v>18155818116</v>
      </c>
    </row>
    <row r="1698" spans="1:1">
      <c r="A1698" s="1" t="str">
        <f>"13965585195"</f>
        <v>13965585195</v>
      </c>
    </row>
    <row r="1699" spans="1:1">
      <c r="A1699" s="1" t="str">
        <f>"15178126054"</f>
        <v>15178126054</v>
      </c>
    </row>
    <row r="1700" spans="1:1">
      <c r="A1700" s="1" t="str">
        <f>"18511135020"</f>
        <v>18511135020</v>
      </c>
    </row>
    <row r="1701" spans="1:1">
      <c r="A1701" s="1" t="str">
        <f>"13011271227"</f>
        <v>13011271227</v>
      </c>
    </row>
    <row r="1702" spans="1:1">
      <c r="A1702" s="1" t="str">
        <f>"15055881505"</f>
        <v>15055881505</v>
      </c>
    </row>
    <row r="1703" spans="1:1">
      <c r="A1703" s="1" t="str">
        <f>"13965589112"</f>
        <v>13965589112</v>
      </c>
    </row>
    <row r="1704" spans="1:1">
      <c r="A1704" s="1" t="str">
        <f>"18118758669"</f>
        <v>18118758669</v>
      </c>
    </row>
    <row r="1705" spans="1:1">
      <c r="A1705" s="1" t="str">
        <f>"18755118585"</f>
        <v>18755118585</v>
      </c>
    </row>
    <row r="1706" spans="1:1">
      <c r="A1706" s="1" t="str">
        <f>"13215436315"</f>
        <v>13215436315</v>
      </c>
    </row>
    <row r="1707" spans="1:1">
      <c r="A1707" s="1" t="str">
        <f>"15856853226"</f>
        <v>15856853226</v>
      </c>
    </row>
    <row r="1708" spans="1:1">
      <c r="A1708" s="1" t="str">
        <f>"19956822930"</f>
        <v>19956822930</v>
      </c>
    </row>
    <row r="1709" spans="1:1">
      <c r="A1709" s="1" t="str">
        <f>"15933363499"</f>
        <v>15933363499</v>
      </c>
    </row>
    <row r="1710" spans="1:1">
      <c r="A1710" s="1" t="str">
        <f>"18602614942"</f>
        <v>18602614942</v>
      </c>
    </row>
    <row r="1711" spans="1:1">
      <c r="A1711" s="1" t="str">
        <f>"13381113168"</f>
        <v>13381113168</v>
      </c>
    </row>
    <row r="1712" spans="1:1">
      <c r="A1712" s="1" t="str">
        <f>"18096737676"</f>
        <v>18096737676</v>
      </c>
    </row>
    <row r="1713" spans="1:1">
      <c r="A1713" s="1" t="str">
        <f>"13506671450"</f>
        <v>13506671450</v>
      </c>
    </row>
    <row r="1714" spans="1:1">
      <c r="A1714" s="1" t="str">
        <f>"13965734458"</f>
        <v>13965734458</v>
      </c>
    </row>
    <row r="1715" spans="1:1">
      <c r="A1715" s="1" t="str">
        <f>"13625587065"</f>
        <v>13625587065</v>
      </c>
    </row>
    <row r="1716" spans="1:1">
      <c r="A1716" s="1" t="str">
        <f>"13905683184"</f>
        <v>13905683184</v>
      </c>
    </row>
    <row r="1717" spans="1:1">
      <c r="A1717" s="1" t="str">
        <f>"18610068627"</f>
        <v>18610068627</v>
      </c>
    </row>
    <row r="1718" spans="1:1">
      <c r="A1718" s="1" t="str">
        <f>"13522768868"</f>
        <v>13522768868</v>
      </c>
    </row>
    <row r="1719" spans="1:1">
      <c r="A1719" s="1" t="str">
        <f>"19810858499"</f>
        <v>19810858499</v>
      </c>
    </row>
    <row r="1720" spans="1:1">
      <c r="A1720" s="1" t="str">
        <f>"13582782480"</f>
        <v>13582782480</v>
      </c>
    </row>
    <row r="1721" spans="1:1">
      <c r="A1721" s="1" t="str">
        <f>"17356915330"</f>
        <v>17356915330</v>
      </c>
    </row>
    <row r="1722" spans="1:1">
      <c r="A1722" s="1" t="str">
        <f>"15956877519"</f>
        <v>15956877519</v>
      </c>
    </row>
    <row r="1723" spans="1:1">
      <c r="A1723" s="1" t="str">
        <f>"15833634550"</f>
        <v>15833634550</v>
      </c>
    </row>
    <row r="1724" spans="1:1">
      <c r="A1724" s="1" t="str">
        <f>"15010031889"</f>
        <v>15010031889</v>
      </c>
    </row>
    <row r="1725" spans="1:1">
      <c r="A1725" s="1" t="str">
        <f>"18701447696"</f>
        <v>18701447696</v>
      </c>
    </row>
    <row r="1726" spans="1:1">
      <c r="A1726" s="1" t="str">
        <f>"18705588456"</f>
        <v>18705588456</v>
      </c>
    </row>
    <row r="1727" spans="1:1">
      <c r="A1727" s="1" t="str">
        <f>"18611119409"</f>
        <v>18611119409</v>
      </c>
    </row>
    <row r="1728" spans="1:1">
      <c r="A1728" s="1" t="str">
        <f>"13436336328"</f>
        <v>13436336328</v>
      </c>
    </row>
    <row r="1729" spans="1:1">
      <c r="A1729" s="1" t="str">
        <f>"15801235150"</f>
        <v>15801235150</v>
      </c>
    </row>
    <row r="1730" spans="1:1">
      <c r="A1730" s="1" t="str">
        <f>"17756868139"</f>
        <v>17756868139</v>
      </c>
    </row>
    <row r="1731" spans="1:1">
      <c r="A1731" s="1" t="str">
        <f>"13911198084"</f>
        <v>13911198084</v>
      </c>
    </row>
    <row r="1732" spans="1:1">
      <c r="A1732" s="1" t="str">
        <f>"13866218440"</f>
        <v>13866218440</v>
      </c>
    </row>
    <row r="1733" spans="1:1">
      <c r="A1733" s="1" t="str">
        <f>"15178127227"</f>
        <v>15178127227</v>
      </c>
    </row>
    <row r="1734" spans="1:1">
      <c r="A1734" s="1" t="str">
        <f>"13784461985"</f>
        <v>13784461985</v>
      </c>
    </row>
    <row r="1735" spans="1:1">
      <c r="A1735" s="1" t="str">
        <f>"13801267985"</f>
        <v>13801267985</v>
      </c>
    </row>
    <row r="1736" spans="1:1">
      <c r="A1736" s="1" t="str">
        <f>"13693268167"</f>
        <v>13693268167</v>
      </c>
    </row>
    <row r="1737" spans="1:1">
      <c r="A1737" s="1" t="str">
        <f>"15256803808"</f>
        <v>15256803808</v>
      </c>
    </row>
    <row r="1738" spans="1:1">
      <c r="A1738" s="1" t="str">
        <f>"13075095436"</f>
        <v>13075095436</v>
      </c>
    </row>
    <row r="1739" spans="1:1">
      <c r="A1739" s="1" t="str">
        <f>"13615684770"</f>
        <v>13615684770</v>
      </c>
    </row>
    <row r="1740" spans="1:1">
      <c r="A1740" s="1" t="str">
        <f>"15255877910"</f>
        <v>15255877910</v>
      </c>
    </row>
    <row r="1741" spans="1:1">
      <c r="A1741" s="1" t="str">
        <f>"13817420106"</f>
        <v>13817420106</v>
      </c>
    </row>
    <row r="1742" spans="1:1">
      <c r="A1742" s="1" t="str">
        <f>"13584160330"</f>
        <v>13584160330</v>
      </c>
    </row>
    <row r="1743" spans="1:1">
      <c r="A1743" s="1" t="str">
        <f>"15855481687"</f>
        <v>15855481687</v>
      </c>
    </row>
    <row r="1744" spans="1:1">
      <c r="A1744" s="1" t="str">
        <f>"13635687168"</f>
        <v>13635687168</v>
      </c>
    </row>
    <row r="1745" spans="1:1">
      <c r="A1745" s="1" t="str">
        <f>"17621402294"</f>
        <v>17621402294</v>
      </c>
    </row>
    <row r="1746" spans="1:1">
      <c r="A1746" s="1" t="str">
        <f>"18655896980"</f>
        <v>18655896980</v>
      </c>
    </row>
    <row r="1747" spans="1:1">
      <c r="A1747" s="1" t="str">
        <f>"19856890596"</f>
        <v>19856890596</v>
      </c>
    </row>
    <row r="1748" spans="1:1">
      <c r="A1748" s="1" t="str">
        <f>"15385816639"</f>
        <v>15385816639</v>
      </c>
    </row>
    <row r="1749" spans="1:1">
      <c r="A1749" s="1" t="str">
        <f>"18226288276"</f>
        <v>18226288276</v>
      </c>
    </row>
    <row r="1750" spans="1:1">
      <c r="A1750" s="1" t="str">
        <f>"15055880329"</f>
        <v>15055880329</v>
      </c>
    </row>
    <row r="1751" spans="1:1">
      <c r="A1751" s="1" t="str">
        <f>"15855836550"</f>
        <v>15855836550</v>
      </c>
    </row>
    <row r="1752" spans="1:1">
      <c r="A1752" s="1" t="str">
        <f>"15755883939"</f>
        <v>15755883939</v>
      </c>
    </row>
    <row r="1753" spans="1:1">
      <c r="A1753" s="1" t="str">
        <f>"18326726671"</f>
        <v>18326726671</v>
      </c>
    </row>
    <row r="1754" spans="1:1">
      <c r="A1754" s="1" t="str">
        <f>"19165837673"</f>
        <v>19165837673</v>
      </c>
    </row>
    <row r="1755" spans="1:1">
      <c r="A1755" s="1" t="str">
        <f>"13966820968"</f>
        <v>13966820968</v>
      </c>
    </row>
    <row r="1756" spans="1:1">
      <c r="A1756" s="1" t="str">
        <f>"15955859800"</f>
        <v>15955859800</v>
      </c>
    </row>
    <row r="1757" spans="1:1">
      <c r="A1757" s="1" t="str">
        <f>"17555860282"</f>
        <v>17555860282</v>
      </c>
    </row>
    <row r="1758" spans="1:1">
      <c r="A1758" s="1" t="str">
        <f>"17355811388"</f>
        <v>17355811388</v>
      </c>
    </row>
    <row r="1759" spans="1:1">
      <c r="A1759" s="1" t="str">
        <f>"19155855533"</f>
        <v>19155855533</v>
      </c>
    </row>
    <row r="1760" spans="1:1">
      <c r="A1760" s="1" t="str">
        <f>"18655872732"</f>
        <v>18655872732</v>
      </c>
    </row>
    <row r="1761" spans="1:1">
      <c r="A1761" s="1" t="str">
        <f>"13470792526"</f>
        <v>13470792526</v>
      </c>
    </row>
    <row r="1762" spans="1:1">
      <c r="A1762" s="1" t="str">
        <f>"13966589400"</f>
        <v>13966589400</v>
      </c>
    </row>
    <row r="1763" spans="1:1">
      <c r="A1763" s="1" t="str">
        <f>"15267313323"</f>
        <v>15267313323</v>
      </c>
    </row>
    <row r="1764" spans="1:1">
      <c r="A1764" s="1" t="str">
        <f>"18132179393"</f>
        <v>18132179393</v>
      </c>
    </row>
    <row r="1765" spans="1:1">
      <c r="A1765" s="1" t="str">
        <f>"15755824913"</f>
        <v>15755824913</v>
      </c>
    </row>
    <row r="1766" spans="1:1">
      <c r="A1766" s="1" t="str">
        <f>"13635680285"</f>
        <v>13635680285</v>
      </c>
    </row>
    <row r="1767" spans="1:1">
      <c r="A1767" s="1" t="str">
        <f>"18810671630"</f>
        <v>18810671630</v>
      </c>
    </row>
    <row r="1768" spans="1:1">
      <c r="A1768" s="1" t="str">
        <f>"18705588318"</f>
        <v>18705588318</v>
      </c>
    </row>
    <row r="1769" spans="1:1">
      <c r="A1769" s="1" t="str">
        <f>"15350680729"</f>
        <v>15350680729</v>
      </c>
    </row>
    <row r="1770" spans="1:1">
      <c r="A1770" s="1" t="str">
        <f>"18832667724"</f>
        <v>18832667724</v>
      </c>
    </row>
    <row r="1771" spans="1:1">
      <c r="A1771" s="1" t="str">
        <f>"13343362269"</f>
        <v>13343362269</v>
      </c>
    </row>
    <row r="1772" spans="1:1">
      <c r="A1772" s="1" t="str">
        <f>"18096797425"</f>
        <v>18096797425</v>
      </c>
    </row>
    <row r="1773" spans="1:1">
      <c r="A1773" s="1" t="str">
        <f>"13923176147"</f>
        <v>13923176147</v>
      </c>
    </row>
    <row r="1774" spans="1:1">
      <c r="A1774" s="1" t="str">
        <f>"15300028695"</f>
        <v>15300028695</v>
      </c>
    </row>
    <row r="1775" spans="1:1">
      <c r="A1775" s="1" t="str">
        <f>"18031780650"</f>
        <v>18031780650</v>
      </c>
    </row>
    <row r="1776" spans="1:1">
      <c r="A1776" s="1" t="str">
        <f>"13780275761"</f>
        <v>13780275761</v>
      </c>
    </row>
    <row r="1777" spans="1:1">
      <c r="A1777" s="1" t="str">
        <f>"15805685011"</f>
        <v>15805685011</v>
      </c>
    </row>
    <row r="1778" spans="1:1">
      <c r="A1778" s="1" t="str">
        <f>"15122397699"</f>
        <v>15122397699</v>
      </c>
    </row>
    <row r="1779" spans="1:1">
      <c r="A1779" s="1" t="str">
        <f>"15030662820"</f>
        <v>15030662820</v>
      </c>
    </row>
    <row r="1780" spans="1:1">
      <c r="A1780" s="1" t="str">
        <f>"13731629598"</f>
        <v>13731629598</v>
      </c>
    </row>
    <row r="1781" spans="1:1">
      <c r="A1781" s="1" t="str">
        <f>"18222785582"</f>
        <v>18222785582</v>
      </c>
    </row>
    <row r="1782" spans="1:1">
      <c r="A1782" s="1" t="str">
        <f>"15302153078"</f>
        <v>15302153078</v>
      </c>
    </row>
    <row r="1783" spans="1:1">
      <c r="A1783" s="1" t="str">
        <f>"13752502499"</f>
        <v>13752502499</v>
      </c>
    </row>
    <row r="1784" spans="1:1">
      <c r="A1784" s="1" t="str">
        <f>"13801335960"</f>
        <v>13801335960</v>
      </c>
    </row>
    <row r="1785" spans="1:1">
      <c r="A1785" s="1" t="str">
        <f>"13643166936"</f>
        <v>13643166936</v>
      </c>
    </row>
    <row r="1786" spans="1:1">
      <c r="A1786" s="1" t="str">
        <f>"13051111180"</f>
        <v>13051111180</v>
      </c>
    </row>
    <row r="1787" spans="1:1">
      <c r="A1787" s="1" t="str">
        <f>"15650681667"</f>
        <v>15650681667</v>
      </c>
    </row>
    <row r="1788" spans="1:1">
      <c r="A1788" s="1" t="str">
        <f>"18201332627"</f>
        <v>18201332627</v>
      </c>
    </row>
    <row r="1789" spans="1:1">
      <c r="A1789" s="1" t="str">
        <f>"13312101651"</f>
        <v>13312101651</v>
      </c>
    </row>
    <row r="1790" spans="1:1">
      <c r="A1790" s="1" t="str">
        <f>"15127337337"</f>
        <v>15127337337</v>
      </c>
    </row>
    <row r="1791" spans="1:1">
      <c r="A1791" s="1" t="str">
        <f>"13485584499"</f>
        <v>13485584499</v>
      </c>
    </row>
    <row r="1792" spans="1:1">
      <c r="A1792" s="1" t="str">
        <f>"15256862080"</f>
        <v>15256862080</v>
      </c>
    </row>
    <row r="1793" spans="1:1">
      <c r="A1793" s="1" t="str">
        <f>"17702221125"</f>
        <v>17702221125</v>
      </c>
    </row>
    <row r="1794" spans="1:1">
      <c r="A1794" s="1" t="str">
        <f>"17822059606"</f>
        <v>17822059606</v>
      </c>
    </row>
    <row r="1795" spans="1:1">
      <c r="A1795" s="1" t="str">
        <f>"15010976108"</f>
        <v>15010976108</v>
      </c>
    </row>
    <row r="1796" spans="1:1">
      <c r="A1796" s="1" t="str">
        <f>"13831682017"</f>
        <v>13831682017</v>
      </c>
    </row>
    <row r="1797" spans="1:1">
      <c r="A1797" s="1" t="str">
        <f>"15822784966"</f>
        <v>15822784966</v>
      </c>
    </row>
    <row r="1798" spans="1:1">
      <c r="A1798" s="1" t="str">
        <f>"18155858383"</f>
        <v>18155858383</v>
      </c>
    </row>
    <row r="1799" spans="1:1">
      <c r="A1799" s="1" t="str">
        <f>"18701470773"</f>
        <v>18701470773</v>
      </c>
    </row>
    <row r="1800" spans="1:1">
      <c r="A1800" s="1" t="str">
        <f>"15122943777"</f>
        <v>15122943777</v>
      </c>
    </row>
    <row r="1801" spans="1:1">
      <c r="A1801" s="1" t="str">
        <f>"18743895828"</f>
        <v>18743895828</v>
      </c>
    </row>
    <row r="1802" spans="1:1">
      <c r="A1802" s="1" t="str">
        <f>"18512251092"</f>
        <v>18512251092</v>
      </c>
    </row>
    <row r="1803" spans="1:1">
      <c r="A1803" s="1" t="str">
        <f>"13802013336"</f>
        <v>13802013336</v>
      </c>
    </row>
    <row r="1804" spans="1:1">
      <c r="A1804" s="1" t="str">
        <f>"18256888350"</f>
        <v>18256888350</v>
      </c>
    </row>
    <row r="1805" spans="1:1">
      <c r="A1805" s="1" t="str">
        <f>"18043325336"</f>
        <v>18043325336</v>
      </c>
    </row>
    <row r="1806" spans="1:1">
      <c r="A1806" s="1" t="str">
        <f>"15255823333"</f>
        <v>15255823333</v>
      </c>
    </row>
    <row r="1807" spans="1:1">
      <c r="A1807" s="1" t="str">
        <f>"18522677198"</f>
        <v>18522677198</v>
      </c>
    </row>
    <row r="1808" spans="1:1">
      <c r="A1808" s="1" t="str">
        <f>"13832652501"</f>
        <v>13832652501</v>
      </c>
    </row>
    <row r="1809" spans="1:1">
      <c r="A1809" s="1" t="str">
        <f>"13603163936"</f>
        <v>13603163936</v>
      </c>
    </row>
    <row r="1810" spans="1:1">
      <c r="A1810" s="1" t="str">
        <f>"18655808012"</f>
        <v>18655808012</v>
      </c>
    </row>
    <row r="1811" spans="1:1">
      <c r="A1811" s="1" t="str">
        <f>"13051881216"</f>
        <v>13051881216</v>
      </c>
    </row>
    <row r="1812" spans="1:1">
      <c r="A1812" s="1" t="str">
        <f>"13722618623"</f>
        <v>13722618623</v>
      </c>
    </row>
    <row r="1813" spans="1:1">
      <c r="A1813" s="1" t="str">
        <f>"18518986231"</f>
        <v>18518986231</v>
      </c>
    </row>
    <row r="1814" spans="1:1">
      <c r="A1814" s="1" t="str">
        <f>"13030672143"</f>
        <v>13030672143</v>
      </c>
    </row>
    <row r="1815" spans="1:1">
      <c r="A1815" s="1" t="str">
        <f>"13582466718"</f>
        <v>13582466718</v>
      </c>
    </row>
    <row r="1816" spans="1:1">
      <c r="A1816" s="1" t="str">
        <f>"13722652698"</f>
        <v>13722652698</v>
      </c>
    </row>
    <row r="1817" spans="1:1">
      <c r="A1817" s="1" t="str">
        <f>"17355887075"</f>
        <v>17355887075</v>
      </c>
    </row>
    <row r="1818" spans="1:1">
      <c r="A1818" s="1" t="str">
        <f>"13752253149"</f>
        <v>13752253149</v>
      </c>
    </row>
    <row r="1819" spans="1:1">
      <c r="A1819" s="1" t="str">
        <f>"13654299277"</f>
        <v>13654299277</v>
      </c>
    </row>
    <row r="1820" spans="1:1">
      <c r="A1820" s="1" t="str">
        <f>"18205583764"</f>
        <v>18205583764</v>
      </c>
    </row>
    <row r="1821" spans="1:1">
      <c r="A1821" s="1" t="str">
        <f>"17611028280"</f>
        <v>17611028280</v>
      </c>
    </row>
    <row r="1822" spans="1:1">
      <c r="A1822" s="1" t="str">
        <f>"18155858383"</f>
        <v>18155858383</v>
      </c>
    </row>
    <row r="1823" spans="1:1">
      <c r="A1823" s="1" t="str">
        <f>"18005582318"</f>
        <v>18005582318</v>
      </c>
    </row>
    <row r="1824" spans="1:1">
      <c r="A1824" s="1" t="str">
        <f>"18811145489"</f>
        <v>18811145489</v>
      </c>
    </row>
    <row r="1825" spans="1:1">
      <c r="A1825" s="1" t="str">
        <f>"19956852932"</f>
        <v>19956852932</v>
      </c>
    </row>
    <row r="1826" spans="1:1">
      <c r="A1826" s="1" t="str">
        <f>"14792666192"</f>
        <v>14792666192</v>
      </c>
    </row>
    <row r="1827" spans="1:1">
      <c r="A1827" s="1" t="str">
        <f>"18633336376"</f>
        <v>18633336376</v>
      </c>
    </row>
    <row r="1828" spans="1:1">
      <c r="A1828" s="1" t="str">
        <f>"19933602979"</f>
        <v>19933602979</v>
      </c>
    </row>
    <row r="1829" spans="1:1">
      <c r="A1829" s="1" t="str">
        <f>"15210624250"</f>
        <v>15210624250</v>
      </c>
    </row>
    <row r="1830" spans="1:1">
      <c r="A1830" s="1" t="str">
        <f>"13693551460"</f>
        <v>13693551460</v>
      </c>
    </row>
    <row r="1831" spans="1:1">
      <c r="A1831" s="1" t="str">
        <f>"18234276158"</f>
        <v>18234276158</v>
      </c>
    </row>
    <row r="1832" spans="1:1">
      <c r="A1832" s="1" t="str">
        <f>"15127623886"</f>
        <v>15127623886</v>
      </c>
    </row>
    <row r="1833" spans="1:1">
      <c r="A1833" s="1" t="str">
        <f>"18226257900"</f>
        <v>18226257900</v>
      </c>
    </row>
    <row r="1834" spans="1:1">
      <c r="A1834" s="1" t="str">
        <f>"13052693418"</f>
        <v>13052693418</v>
      </c>
    </row>
    <row r="1835" spans="1:1">
      <c r="A1835" s="1" t="str">
        <f>"13840370221"</f>
        <v>13840370221</v>
      </c>
    </row>
    <row r="1836" spans="1:1">
      <c r="A1836" s="1" t="str">
        <f>"15531613354"</f>
        <v>15531613354</v>
      </c>
    </row>
    <row r="1837" spans="1:1">
      <c r="A1837" s="1" t="str">
        <f>"13215680217"</f>
        <v>13215680217</v>
      </c>
    </row>
    <row r="1838" spans="1:1">
      <c r="A1838" s="1" t="str">
        <f>"13146079296"</f>
        <v>13146079296</v>
      </c>
    </row>
    <row r="1839" spans="1:1">
      <c r="A1839" s="1" t="str">
        <f>"15222788293"</f>
        <v>15222788293</v>
      </c>
    </row>
    <row r="1840" spans="1:1">
      <c r="A1840" s="1" t="str">
        <f>"13683120679"</f>
        <v>13683120679</v>
      </c>
    </row>
    <row r="1841" spans="1:1">
      <c r="A1841" s="1" t="str">
        <f>"19898961865"</f>
        <v>19898961865</v>
      </c>
    </row>
    <row r="1842" spans="1:1">
      <c r="A1842" s="1" t="str">
        <f>"17611159853"</f>
        <v>17611159853</v>
      </c>
    </row>
    <row r="1843" spans="1:1">
      <c r="A1843" s="1" t="str">
        <f>"13855839083"</f>
        <v>13855839083</v>
      </c>
    </row>
    <row r="1844" spans="1:1">
      <c r="A1844" s="1" t="str">
        <f>"18002166085"</f>
        <v>18002166085</v>
      </c>
    </row>
    <row r="1845" spans="1:1">
      <c r="A1845" s="1" t="str">
        <f>"18301656635"</f>
        <v>18301656635</v>
      </c>
    </row>
    <row r="1846" spans="1:1">
      <c r="A1846" s="1" t="str">
        <f>"13821970663"</f>
        <v>13821970663</v>
      </c>
    </row>
    <row r="1847" spans="1:1">
      <c r="A1847" s="1" t="str">
        <f>"15103260708"</f>
        <v>15103260708</v>
      </c>
    </row>
    <row r="1848" spans="1:1">
      <c r="A1848" s="1" t="str">
        <f>"13955885581"</f>
        <v>13955885581</v>
      </c>
    </row>
    <row r="1849" spans="1:1">
      <c r="A1849" s="1" t="str">
        <f>"13011934735"</f>
        <v>13011934735</v>
      </c>
    </row>
    <row r="1850" spans="1:1">
      <c r="A1850" s="1" t="str">
        <f>"15127690771"</f>
        <v>15127690771</v>
      </c>
    </row>
    <row r="1851" spans="1:1">
      <c r="A1851" s="1" t="str">
        <f>"18301462166"</f>
        <v>18301462166</v>
      </c>
    </row>
    <row r="1852" spans="1:1">
      <c r="A1852" s="1" t="str">
        <f>"13703268675"</f>
        <v>13703268675</v>
      </c>
    </row>
    <row r="1853" spans="1:1">
      <c r="A1853" s="1" t="str">
        <f>"18611723329"</f>
        <v>18611723329</v>
      </c>
    </row>
    <row r="1854" spans="1:1">
      <c r="A1854" s="1" t="str">
        <f>"13026492819"</f>
        <v>13026492819</v>
      </c>
    </row>
    <row r="1855" spans="1:1">
      <c r="A1855" s="1" t="str">
        <f>"15831685216"</f>
        <v>15831685216</v>
      </c>
    </row>
    <row r="1856" spans="1:1">
      <c r="A1856" s="1" t="str">
        <f>"15955873618"</f>
        <v>15955873618</v>
      </c>
    </row>
    <row r="1857" spans="1:1">
      <c r="A1857" s="1" t="str">
        <f>"13933641369"</f>
        <v>13933641369</v>
      </c>
    </row>
    <row r="1858" spans="1:1">
      <c r="A1858" s="1" t="str">
        <f>"18618418025"</f>
        <v>18618418025</v>
      </c>
    </row>
    <row r="1859" spans="1:1">
      <c r="A1859" s="1" t="str">
        <f>"13343367603"</f>
        <v>13343367603</v>
      </c>
    </row>
    <row r="1860" spans="1:1">
      <c r="A1860" s="1" t="str">
        <f>"15132699095"</f>
        <v>15132699095</v>
      </c>
    </row>
    <row r="1861" spans="1:1">
      <c r="A1861" s="1" t="str">
        <f>"13865847873"</f>
        <v>13865847873</v>
      </c>
    </row>
    <row r="1862" spans="1:1">
      <c r="A1862" s="1" t="str">
        <f>"18732631606"</f>
        <v>18732631606</v>
      </c>
    </row>
    <row r="1863" spans="1:1">
      <c r="A1863" s="1" t="str">
        <f>"13956817428"</f>
        <v>13956817428</v>
      </c>
    </row>
    <row r="1864" spans="1:1">
      <c r="A1864" s="1" t="str">
        <f>"15052986755"</f>
        <v>15052986755</v>
      </c>
    </row>
    <row r="1865" spans="1:1">
      <c r="A1865" s="1" t="str">
        <f>"15100613088"</f>
        <v>15100613088</v>
      </c>
    </row>
    <row r="1866" spans="1:1">
      <c r="A1866" s="1" t="str">
        <f>"18515834431"</f>
        <v>18515834431</v>
      </c>
    </row>
    <row r="1867" spans="1:1">
      <c r="A1867" s="1" t="str">
        <f>"13832629362"</f>
        <v>13832629362</v>
      </c>
    </row>
    <row r="1868" spans="1:1">
      <c r="A1868" s="1" t="str">
        <f>"13521941578"</f>
        <v>13521941578</v>
      </c>
    </row>
    <row r="1869" spans="1:1">
      <c r="A1869" s="1" t="str">
        <f>"13552005899"</f>
        <v>13552005899</v>
      </c>
    </row>
    <row r="1870" spans="1:1">
      <c r="A1870" s="1" t="str">
        <f>"18611547711"</f>
        <v>18611547711</v>
      </c>
    </row>
    <row r="1871" spans="1:1">
      <c r="A1871" s="1" t="str">
        <f>"18956703053"</f>
        <v>18956703053</v>
      </c>
    </row>
    <row r="1872" spans="1:1">
      <c r="A1872" s="1" t="str">
        <f>"15510171419"</f>
        <v>15510171419</v>
      </c>
    </row>
    <row r="1873" spans="1:1">
      <c r="A1873" s="1" t="str">
        <f>"15930611636"</f>
        <v>15930611636</v>
      </c>
    </row>
    <row r="1874" spans="1:1">
      <c r="A1874" s="1" t="str">
        <f>"15075645066"</f>
        <v>15075645066</v>
      </c>
    </row>
    <row r="1875" spans="1:1">
      <c r="A1875" s="1" t="str">
        <f>"15133643139"</f>
        <v>15133643139</v>
      </c>
    </row>
    <row r="1876" spans="1:1">
      <c r="A1876" s="1" t="str">
        <f>"18832631096"</f>
        <v>18832631096</v>
      </c>
    </row>
    <row r="1877" spans="1:1">
      <c r="A1877" s="1" t="str">
        <f>"15901397907"</f>
        <v>15901397907</v>
      </c>
    </row>
    <row r="1878" spans="1:1">
      <c r="A1878" s="1" t="str">
        <f>"13513008381"</f>
        <v>13513008381</v>
      </c>
    </row>
    <row r="1879" spans="1:1">
      <c r="A1879" s="1" t="str">
        <f>"13931661896"</f>
        <v>13931661896</v>
      </c>
    </row>
    <row r="1880" spans="1:1">
      <c r="A1880" s="1" t="str">
        <f>"13931661896"</f>
        <v>13931661896</v>
      </c>
    </row>
    <row r="1881" spans="1:1">
      <c r="A1881" s="1" t="str">
        <f>"15313049034"</f>
        <v>15313049034</v>
      </c>
    </row>
    <row r="1882" spans="1:1">
      <c r="A1882" s="1" t="str">
        <f>"13734898751"</f>
        <v>13734898751</v>
      </c>
    </row>
    <row r="1883" spans="1:1">
      <c r="A1883" s="1" t="str">
        <f>"13673264311"</f>
        <v>13673264311</v>
      </c>
    </row>
    <row r="1884" spans="1:1">
      <c r="A1884" s="1" t="str">
        <f>"15901403828"</f>
        <v>15901403828</v>
      </c>
    </row>
    <row r="1885" spans="1:1">
      <c r="A1885" s="1" t="str">
        <f>"15801639926"</f>
        <v>15801639926</v>
      </c>
    </row>
    <row r="1886" spans="1:1">
      <c r="A1886" s="1" t="str">
        <f>"15830625038"</f>
        <v>15830625038</v>
      </c>
    </row>
    <row r="1887" spans="1:1">
      <c r="A1887" s="1" t="str">
        <f>"13832681329"</f>
        <v>13832681329</v>
      </c>
    </row>
    <row r="1888" spans="1:1">
      <c r="A1888" s="1" t="str">
        <f>"18810171025"</f>
        <v>18810171025</v>
      </c>
    </row>
    <row r="1889" spans="1:1">
      <c r="A1889" s="1" t="str">
        <f>"18731393337"</f>
        <v>18731393337</v>
      </c>
    </row>
    <row r="1890" spans="1:1">
      <c r="A1890" s="1" t="str">
        <f>"15810778788"</f>
        <v>15810778788</v>
      </c>
    </row>
    <row r="1891" spans="1:1">
      <c r="A1891" s="1" t="str">
        <f>"13785604401"</f>
        <v>13785604401</v>
      </c>
    </row>
    <row r="1892" spans="1:1">
      <c r="A1892" s="1" t="str">
        <f>"15600589151"</f>
        <v>15600589151</v>
      </c>
    </row>
    <row r="1893" spans="1:1">
      <c r="A1893" s="1" t="str">
        <f>"13520530741"</f>
        <v>13520530741</v>
      </c>
    </row>
    <row r="1894" spans="1:1">
      <c r="A1894" s="1" t="str">
        <f>"13683081057"</f>
        <v>13683081057</v>
      </c>
    </row>
    <row r="1895" spans="1:1">
      <c r="A1895" s="1" t="str">
        <f>"13736757099"</f>
        <v>13736757099</v>
      </c>
    </row>
    <row r="1896" spans="1:1">
      <c r="A1896" s="1" t="str">
        <f>"15555952657"</f>
        <v>15555952657</v>
      </c>
    </row>
    <row r="1897" spans="1:1">
      <c r="A1897" s="1" t="str">
        <f>"18519039123"</f>
        <v>18519039123</v>
      </c>
    </row>
    <row r="1898" spans="1:1">
      <c r="A1898" s="1" t="str">
        <f>"13889865515"</f>
        <v>13889865515</v>
      </c>
    </row>
    <row r="1899" spans="1:1">
      <c r="A1899" s="1" t="str">
        <f>"13965092926"</f>
        <v>13965092926</v>
      </c>
    </row>
    <row r="1900" spans="1:1">
      <c r="A1900" s="1" t="str">
        <f>"13695583128"</f>
        <v>13695583128</v>
      </c>
    </row>
    <row r="1901" spans="1:1">
      <c r="A1901" s="1" t="str">
        <f>"13930665580"</f>
        <v>13930665580</v>
      </c>
    </row>
    <row r="1902" spans="1:1">
      <c r="A1902" s="1" t="str">
        <f>"17356816919"</f>
        <v>17356816919</v>
      </c>
    </row>
    <row r="1903" spans="1:1">
      <c r="A1903" s="1" t="str">
        <f>"13470816333"</f>
        <v>13470816333</v>
      </c>
    </row>
    <row r="1904" spans="1:1">
      <c r="A1904" s="1" t="str">
        <f>"15603132876"</f>
        <v>15603132876</v>
      </c>
    </row>
    <row r="1905" spans="1:1">
      <c r="A1905" s="1" t="str">
        <f>"15033137333"</f>
        <v>15033137333</v>
      </c>
    </row>
    <row r="1906" spans="1:1">
      <c r="A1906" s="1" t="str">
        <f>"18001363977"</f>
        <v>18001363977</v>
      </c>
    </row>
    <row r="1907" spans="1:1">
      <c r="A1907" s="1" t="str">
        <f>"18034065466"</f>
        <v>18034065466</v>
      </c>
    </row>
    <row r="1908" spans="1:1">
      <c r="A1908" s="1" t="str">
        <f>"18911389590"</f>
        <v>18911389590</v>
      </c>
    </row>
    <row r="1909" spans="1:1">
      <c r="A1909" s="1" t="str">
        <f>"17731633223"</f>
        <v>17731633223</v>
      </c>
    </row>
    <row r="1910" spans="1:1">
      <c r="A1910" s="1" t="str">
        <f>"18611981174"</f>
        <v>18611981174</v>
      </c>
    </row>
    <row r="1911" spans="1:1">
      <c r="A1911" s="1" t="str">
        <f>"13811858605"</f>
        <v>13811858605</v>
      </c>
    </row>
    <row r="1912" spans="1:1">
      <c r="A1912" s="1" t="str">
        <f>"13910087301"</f>
        <v>13910087301</v>
      </c>
    </row>
    <row r="1913" spans="1:1">
      <c r="A1913" s="1" t="str">
        <f>"15256885829"</f>
        <v>15256885829</v>
      </c>
    </row>
    <row r="1914" spans="1:1">
      <c r="A1914" s="1" t="str">
        <f>"13381316337"</f>
        <v>13381316337</v>
      </c>
    </row>
    <row r="1915" spans="1:1">
      <c r="A1915" s="1" t="str">
        <f>"15100870950"</f>
        <v>15100870950</v>
      </c>
    </row>
    <row r="1916" spans="1:1">
      <c r="A1916" s="1" t="str">
        <f>"15555881288"</f>
        <v>15555881288</v>
      </c>
    </row>
    <row r="1917" spans="1:1">
      <c r="A1917" s="1" t="str">
        <f>"13671390461"</f>
        <v>13671390461</v>
      </c>
    </row>
    <row r="1918" spans="1:1">
      <c r="A1918" s="1" t="str">
        <f>"15810895619"</f>
        <v>15810895619</v>
      </c>
    </row>
    <row r="1919" spans="1:1">
      <c r="A1919" s="1" t="str">
        <f>"15300803950"</f>
        <v>15300803950</v>
      </c>
    </row>
    <row r="1920" spans="1:1">
      <c r="A1920" s="1" t="str">
        <f>"15810331306"</f>
        <v>15810331306</v>
      </c>
    </row>
    <row r="1921" spans="1:1">
      <c r="A1921" s="1" t="str">
        <f>"13931667053"</f>
        <v>13931667053</v>
      </c>
    </row>
    <row r="1922" spans="1:1">
      <c r="A1922" s="1" t="str">
        <f>"18703276156"</f>
        <v>18703276156</v>
      </c>
    </row>
    <row r="1923" spans="1:1">
      <c r="A1923" s="1" t="str">
        <f>"18345258110"</f>
        <v>18345258110</v>
      </c>
    </row>
    <row r="1924" spans="1:1">
      <c r="A1924" s="1" t="str">
        <f>"15295016697"</f>
        <v>15295016697</v>
      </c>
    </row>
    <row r="1925" spans="1:1">
      <c r="A1925" s="1" t="str">
        <f>"18647554195"</f>
        <v>18647554195</v>
      </c>
    </row>
    <row r="1926" spans="1:1">
      <c r="A1926" s="1" t="str">
        <f>"15856884902"</f>
        <v>15856884902</v>
      </c>
    </row>
    <row r="1927" spans="1:1">
      <c r="A1927" s="1" t="str">
        <f>"13966807932"</f>
        <v>13966807932</v>
      </c>
    </row>
    <row r="1928" spans="1:1">
      <c r="A1928" s="1" t="str">
        <f>"18964857469"</f>
        <v>18964857469</v>
      </c>
    </row>
    <row r="1929" spans="1:1">
      <c r="A1929" s="1" t="str">
        <f>"18511547012"</f>
        <v>18511547012</v>
      </c>
    </row>
    <row r="1930" spans="1:1">
      <c r="A1930" s="1" t="str">
        <f>"18712540586"</f>
        <v>18712540586</v>
      </c>
    </row>
    <row r="1931" spans="1:1">
      <c r="A1931" s="1" t="str">
        <f>"15128411339"</f>
        <v>15128411339</v>
      </c>
    </row>
    <row r="1932" spans="1:1">
      <c r="A1932" s="1" t="str">
        <f>"18231389943"</f>
        <v>18231389943</v>
      </c>
    </row>
    <row r="1933" spans="1:1">
      <c r="A1933" s="1" t="str">
        <f>"15855484418"</f>
        <v>15855484418</v>
      </c>
    </row>
    <row r="1934" spans="1:1">
      <c r="A1934" s="1" t="str">
        <f>"18031677056"</f>
        <v>18031677056</v>
      </c>
    </row>
    <row r="1935" spans="1:1">
      <c r="A1935" s="1" t="str">
        <f>"18651109079"</f>
        <v>18651109079</v>
      </c>
    </row>
    <row r="1936" spans="1:1">
      <c r="A1936" s="1" t="str">
        <f>"13701216743"</f>
        <v>13701216743</v>
      </c>
    </row>
    <row r="1937" spans="1:1">
      <c r="A1937" s="1" t="str">
        <f>"18130768655"</f>
        <v>18130768655</v>
      </c>
    </row>
    <row r="1938" spans="1:1">
      <c r="A1938" s="1" t="str">
        <f>"15801022802"</f>
        <v>15801022802</v>
      </c>
    </row>
    <row r="1939" spans="1:1">
      <c r="A1939" s="1" t="str">
        <f>"18333062930"</f>
        <v>18333062930</v>
      </c>
    </row>
    <row r="1940" spans="1:1">
      <c r="A1940" s="1" t="str">
        <f>"18803370750"</f>
        <v>18803370750</v>
      </c>
    </row>
    <row r="1941" spans="1:1">
      <c r="A1941" s="1" t="str">
        <f>"18231661407"</f>
        <v>18231661407</v>
      </c>
    </row>
    <row r="1942" spans="1:1">
      <c r="A1942" s="1" t="str">
        <f>"13718200567"</f>
        <v>13718200567</v>
      </c>
    </row>
    <row r="1943" spans="1:1">
      <c r="A1943" s="1" t="str">
        <f>"13463433023"</f>
        <v>13463433023</v>
      </c>
    </row>
    <row r="1944" spans="1:1">
      <c r="A1944" s="1" t="str">
        <f>"13520961247"</f>
        <v>13520961247</v>
      </c>
    </row>
    <row r="1945" spans="1:1">
      <c r="A1945" s="1" t="str">
        <f>"13236990727"</f>
        <v>13236990727</v>
      </c>
    </row>
    <row r="1946" spans="1:1">
      <c r="A1946" s="1" t="str">
        <f>"18298187793"</f>
        <v>18298187793</v>
      </c>
    </row>
    <row r="1947" spans="1:1">
      <c r="A1947" s="1" t="str">
        <f>"13731614447"</f>
        <v>13731614447</v>
      </c>
    </row>
    <row r="1948" spans="1:1">
      <c r="A1948" s="1" t="str">
        <f>"13703269570"</f>
        <v>13703269570</v>
      </c>
    </row>
    <row r="1949" spans="1:1">
      <c r="A1949" s="1" t="str">
        <f>"13930682591"</f>
        <v>13930682591</v>
      </c>
    </row>
    <row r="1950" spans="1:1">
      <c r="A1950" s="1" t="str">
        <f>"18031606929"</f>
        <v>18031606929</v>
      </c>
    </row>
    <row r="1951" spans="1:1">
      <c r="A1951" s="1" t="str">
        <f>"15248608700"</f>
        <v>15248608700</v>
      </c>
    </row>
    <row r="1952" spans="1:1">
      <c r="A1952" s="1" t="str">
        <f>"18301683288"</f>
        <v>18301683288</v>
      </c>
    </row>
    <row r="1953" spans="1:1">
      <c r="A1953" s="1" t="str">
        <f>"15383368301"</f>
        <v>15383368301</v>
      </c>
    </row>
    <row r="1954" spans="1:1">
      <c r="A1954" s="1" t="str">
        <f>"15931622040"</f>
        <v>15931622040</v>
      </c>
    </row>
    <row r="1955" spans="1:1">
      <c r="A1955" s="1" t="str">
        <f>"13359011883"</f>
        <v>13359011883</v>
      </c>
    </row>
    <row r="1956" spans="1:1">
      <c r="A1956" s="1" t="str">
        <f>"13041030672"</f>
        <v>13041030672</v>
      </c>
    </row>
    <row r="1957" spans="1:1">
      <c r="A1957" s="1" t="str">
        <f>"17620961738"</f>
        <v>17620961738</v>
      </c>
    </row>
    <row r="1958" spans="1:1">
      <c r="A1958" s="1" t="str">
        <f>"18222333952"</f>
        <v>18222333952</v>
      </c>
    </row>
    <row r="1959" spans="1:1">
      <c r="A1959" s="1" t="str">
        <f>"15147357777"</f>
        <v>15147357777</v>
      </c>
    </row>
    <row r="1960" spans="1:1">
      <c r="A1960" s="1" t="str">
        <f>"15530700887"</f>
        <v>15530700887</v>
      </c>
    </row>
    <row r="1961" spans="1:1">
      <c r="A1961" s="1" t="str">
        <f>"18301137091"</f>
        <v>18301137091</v>
      </c>
    </row>
    <row r="1962" spans="1:1">
      <c r="A1962" s="1" t="str">
        <f>"15803370477"</f>
        <v>15803370477</v>
      </c>
    </row>
    <row r="1963" spans="1:1">
      <c r="A1963" s="1" t="str">
        <f>"15030476888"</f>
        <v>15030476888</v>
      </c>
    </row>
    <row r="1964" spans="1:1">
      <c r="A1964" s="1" t="str">
        <f>"15128663043"</f>
        <v>15128663043</v>
      </c>
    </row>
    <row r="1965" spans="1:1">
      <c r="A1965" s="1" t="str">
        <f>"13520533869"</f>
        <v>13520533869</v>
      </c>
    </row>
    <row r="1966" spans="1:1">
      <c r="A1966" s="1" t="str">
        <f>"13191937404"</f>
        <v>13191937404</v>
      </c>
    </row>
    <row r="1967" spans="1:1">
      <c r="A1967" s="1" t="str">
        <f>"18232817980"</f>
        <v>18232817980</v>
      </c>
    </row>
    <row r="1968" spans="1:1">
      <c r="A1968" s="1" t="str">
        <f>"15031350199"</f>
        <v>15031350199</v>
      </c>
    </row>
    <row r="1969" spans="1:1">
      <c r="A1969" s="1" t="str">
        <f>"15903278260"</f>
        <v>15903278260</v>
      </c>
    </row>
    <row r="1970" spans="1:1">
      <c r="A1970" s="1" t="str">
        <f>"18096701720"</f>
        <v>18096701720</v>
      </c>
    </row>
    <row r="1971" spans="1:1">
      <c r="A1971" s="1" t="str">
        <f>"13932746323"</f>
        <v>13932746323</v>
      </c>
    </row>
    <row r="1972" spans="1:1">
      <c r="A1972" s="1" t="str">
        <f>"13626853425"</f>
        <v>13626853425</v>
      </c>
    </row>
    <row r="1973" spans="1:1">
      <c r="A1973" s="1" t="str">
        <f>"18705689412"</f>
        <v>18705689412</v>
      </c>
    </row>
    <row r="1974" spans="1:1">
      <c r="A1974" s="1" t="str">
        <f>"18805586660"</f>
        <v>18805586660</v>
      </c>
    </row>
    <row r="1975" spans="1:1">
      <c r="A1975" s="1" t="str">
        <f>"13920377767"</f>
        <v>13920377767</v>
      </c>
    </row>
    <row r="1976" spans="1:1">
      <c r="A1976" s="1" t="str">
        <f>"18831335952"</f>
        <v>18831335952</v>
      </c>
    </row>
    <row r="1977" spans="1:1">
      <c r="A1977" s="1" t="str">
        <f>"13521832845"</f>
        <v>13521832845</v>
      </c>
    </row>
    <row r="1978" spans="1:1">
      <c r="A1978" s="1" t="str">
        <f>"13231351685"</f>
        <v>13231351685</v>
      </c>
    </row>
    <row r="1979" spans="1:1">
      <c r="A1979" s="1" t="str">
        <f>"18256885605"</f>
        <v>18256885605</v>
      </c>
    </row>
    <row r="1980" spans="1:1">
      <c r="A1980" s="1" t="str">
        <f>"17816864821"</f>
        <v>17816864821</v>
      </c>
    </row>
    <row r="1981" spans="1:1">
      <c r="A1981" s="1" t="str">
        <f>"15055835882"</f>
        <v>15055835882</v>
      </c>
    </row>
    <row r="1982" spans="1:1">
      <c r="A1982" s="1" t="str">
        <f>"15855495625"</f>
        <v>15855495625</v>
      </c>
    </row>
    <row r="1983" spans="1:1">
      <c r="A1983" s="1" t="str">
        <f>"13222250383"</f>
        <v>13222250383</v>
      </c>
    </row>
    <row r="1984" spans="1:1">
      <c r="A1984" s="1" t="str">
        <f>"15605683555"</f>
        <v>15605683555</v>
      </c>
    </row>
    <row r="1985" spans="1:1">
      <c r="A1985" s="1" t="str">
        <f>"18256821945"</f>
        <v>18256821945</v>
      </c>
    </row>
    <row r="1986" spans="1:1">
      <c r="A1986" s="1" t="str">
        <f>"15933422023"</f>
        <v>15933422023</v>
      </c>
    </row>
    <row r="1987" spans="1:1">
      <c r="A1987" s="1" t="str">
        <f>"18298169109"</f>
        <v>18298169109</v>
      </c>
    </row>
    <row r="1988" spans="1:1">
      <c r="A1988" s="1" t="str">
        <f>"15031225073"</f>
        <v>15031225073</v>
      </c>
    </row>
    <row r="1989" spans="1:1">
      <c r="A1989" s="1" t="str">
        <f>"15056836367"</f>
        <v>15056836367</v>
      </c>
    </row>
    <row r="1990" spans="1:1">
      <c r="A1990" s="1" t="str">
        <f>"18256829131"</f>
        <v>18256829131</v>
      </c>
    </row>
    <row r="1991" spans="1:1">
      <c r="A1991" s="1" t="str">
        <f>"13922887399"</f>
        <v>13922887399</v>
      </c>
    </row>
    <row r="1992" spans="1:1">
      <c r="A1992" s="1" t="str">
        <f>"15031225073"</f>
        <v>15031225073</v>
      </c>
    </row>
    <row r="1993" spans="1:1">
      <c r="A1993" s="1" t="str">
        <f>"18654266449"</f>
        <v>18654266449</v>
      </c>
    </row>
    <row r="1994" spans="1:1">
      <c r="A1994" s="1" t="str">
        <f>"18226263826"</f>
        <v>18226263826</v>
      </c>
    </row>
    <row r="1995" spans="1:1">
      <c r="A1995" s="1" t="str">
        <f>"15151977575"</f>
        <v>15151977575</v>
      </c>
    </row>
    <row r="1996" spans="1:1">
      <c r="A1996" s="1" t="str">
        <f>"15715680821"</f>
        <v>15715680821</v>
      </c>
    </row>
    <row r="1997" spans="1:1">
      <c r="A1997" s="1" t="str">
        <f>"15715683100"</f>
        <v>15715683100</v>
      </c>
    </row>
    <row r="1998" spans="1:1">
      <c r="A1998" s="1" t="str">
        <f>"14472233123"</f>
        <v>14472233123</v>
      </c>
    </row>
    <row r="1999" spans="1:1">
      <c r="A1999" s="1" t="str">
        <f>"15155861865"</f>
        <v>15155861865</v>
      </c>
    </row>
    <row r="2000" spans="1:1">
      <c r="A2000" s="1" t="str">
        <f>"18955809190"</f>
        <v>18955809190</v>
      </c>
    </row>
    <row r="2001" spans="1:1">
      <c r="A2001" s="1" t="str">
        <f>"15755891611"</f>
        <v>15755891611</v>
      </c>
    </row>
    <row r="2002" spans="1:1">
      <c r="A2002" s="1" t="str">
        <f>"13355589093"</f>
        <v>13355589093</v>
      </c>
    </row>
    <row r="2003" spans="1:1">
      <c r="A2003" s="1" t="str">
        <f>"15055888514"</f>
        <v>15055888514</v>
      </c>
    </row>
    <row r="2004" spans="1:1">
      <c r="A2004" s="1" t="str">
        <f>"17716523217"</f>
        <v>17716523217</v>
      </c>
    </row>
    <row r="2005" spans="1:1">
      <c r="A2005" s="1" t="str">
        <f>"18920861796"</f>
        <v>18920861796</v>
      </c>
    </row>
    <row r="2006" spans="1:1">
      <c r="A2006" s="1" t="str">
        <f>"13512024626"</f>
        <v>13512024626</v>
      </c>
    </row>
    <row r="2007" spans="1:1">
      <c r="A2007" s="1" t="str">
        <f>"13931645473"</f>
        <v>13931645473</v>
      </c>
    </row>
    <row r="2008" spans="1:1">
      <c r="A2008" s="1" t="str">
        <f>"13302015590"</f>
        <v>13302015590</v>
      </c>
    </row>
    <row r="2009" spans="1:1">
      <c r="A2009" s="1" t="str">
        <f>"17611010200"</f>
        <v>17611010200</v>
      </c>
    </row>
    <row r="2010" spans="1:1">
      <c r="A2010" s="1" t="str">
        <f>"13520847699"</f>
        <v>13520847699</v>
      </c>
    </row>
    <row r="2011" spans="1:1">
      <c r="A2011" s="1" t="str">
        <f>"15602037507"</f>
        <v>15602037507</v>
      </c>
    </row>
    <row r="2012" spans="1:1">
      <c r="A2012" s="1" t="str">
        <f>"15124255337"</f>
        <v>15124255337</v>
      </c>
    </row>
    <row r="2013" spans="1:1">
      <c r="A2013" s="1" t="str">
        <f>"13820262184"</f>
        <v>13820262184</v>
      </c>
    </row>
    <row r="2014" spans="1:1">
      <c r="A2014" s="1" t="str">
        <f>"15067356986"</f>
        <v>15067356986</v>
      </c>
    </row>
    <row r="2015" spans="1:1">
      <c r="A2015" s="1" t="str">
        <f>"18503160750"</f>
        <v>18503160750</v>
      </c>
    </row>
    <row r="2016" spans="1:1">
      <c r="A2016" s="1" t="str">
        <f>"15210559401"</f>
        <v>15210559401</v>
      </c>
    </row>
    <row r="2017" spans="1:1">
      <c r="A2017" s="1" t="str">
        <f>"18612662303"</f>
        <v>18612662303</v>
      </c>
    </row>
    <row r="2018" spans="1:1">
      <c r="A2018" s="1" t="str">
        <f>"15175656657"</f>
        <v>15175656657</v>
      </c>
    </row>
    <row r="2019" spans="1:1">
      <c r="A2019" s="1" t="str">
        <f>"13832684927"</f>
        <v>13832684927</v>
      </c>
    </row>
    <row r="2020" spans="1:1">
      <c r="A2020" s="1" t="str">
        <f>"13241254012"</f>
        <v>13241254012</v>
      </c>
    </row>
    <row r="2021" spans="1:1">
      <c r="A2021" s="1" t="str">
        <f>"17732788818"</f>
        <v>17732788818</v>
      </c>
    </row>
    <row r="2022" spans="1:1">
      <c r="A2022" s="1" t="str">
        <f>"15240171758"</f>
        <v>15240171758</v>
      </c>
    </row>
    <row r="2023" spans="1:1">
      <c r="A2023" s="1" t="str">
        <f>"18920499229"</f>
        <v>18920499229</v>
      </c>
    </row>
    <row r="2024" spans="1:1">
      <c r="A2024" s="1" t="str">
        <f>"18518636261"</f>
        <v>18518636261</v>
      </c>
    </row>
    <row r="2025" spans="1:1">
      <c r="A2025" s="1" t="str">
        <f>"15122438205"</f>
        <v>15122438205</v>
      </c>
    </row>
    <row r="2026" spans="1:1">
      <c r="A2026" s="1" t="str">
        <f>"18516966255"</f>
        <v>18516966255</v>
      </c>
    </row>
    <row r="2027" spans="1:1">
      <c r="A2027" s="1" t="str">
        <f>"18832390190"</f>
        <v>18832390190</v>
      </c>
    </row>
    <row r="2028" spans="1:1">
      <c r="A2028" s="1" t="str">
        <f>"17731642605"</f>
        <v>17731642605</v>
      </c>
    </row>
    <row r="2029" spans="1:1">
      <c r="A2029" s="1" t="str">
        <f>"13811686379"</f>
        <v>13811686379</v>
      </c>
    </row>
    <row r="2030" spans="1:1">
      <c r="A2030" s="1" t="str">
        <f>"15243302791"</f>
        <v>15243302791</v>
      </c>
    </row>
    <row r="2031" spans="1:1">
      <c r="A2031" s="1" t="str">
        <f>"15076619018"</f>
        <v>15076619018</v>
      </c>
    </row>
    <row r="2032" spans="1:1">
      <c r="A2032" s="1" t="str">
        <f>"15832331288"</f>
        <v>15832331288</v>
      </c>
    </row>
    <row r="2033" spans="1:1">
      <c r="A2033" s="1" t="str">
        <f>"13703165853"</f>
        <v>13703165853</v>
      </c>
    </row>
    <row r="2034" spans="1:1">
      <c r="A2034" s="1" t="str">
        <f>"13722638421"</f>
        <v>13722638421</v>
      </c>
    </row>
    <row r="2035" spans="1:1">
      <c r="A2035" s="1" t="str">
        <f>"13552153453"</f>
        <v>13552153453</v>
      </c>
    </row>
    <row r="2036" spans="1:1">
      <c r="A2036" s="1" t="str">
        <f>"17733458386"</f>
        <v>17733458386</v>
      </c>
    </row>
    <row r="2037" spans="1:1">
      <c r="A2037" s="1" t="str">
        <f>"13722640601"</f>
        <v>13722640601</v>
      </c>
    </row>
    <row r="2038" spans="1:1">
      <c r="A2038" s="1" t="str">
        <f>"13231612292"</f>
        <v>13231612292</v>
      </c>
    </row>
    <row r="2039" spans="1:1">
      <c r="A2039" s="1" t="str">
        <f>"18626631208"</f>
        <v>18626631208</v>
      </c>
    </row>
    <row r="2040" spans="1:1">
      <c r="A2040" s="1" t="str">
        <f>"13141449933"</f>
        <v>13141449933</v>
      </c>
    </row>
    <row r="2041" spans="1:1">
      <c r="A2041" s="1" t="str">
        <f>"15810235335"</f>
        <v>15810235335</v>
      </c>
    </row>
    <row r="2042" spans="1:1">
      <c r="A2042" s="1" t="str">
        <f>"15076202239"</f>
        <v>15076202239</v>
      </c>
    </row>
    <row r="2043" spans="1:1">
      <c r="A2043" s="1" t="str">
        <f>"15810835717"</f>
        <v>15810835717</v>
      </c>
    </row>
    <row r="2044" spans="1:1">
      <c r="A2044" s="1" t="str">
        <f>"15076667152"</f>
        <v>15076667152</v>
      </c>
    </row>
    <row r="2045" spans="1:1">
      <c r="A2045" s="1" t="str">
        <f>"13920640846"</f>
        <v>13920640846</v>
      </c>
    </row>
    <row r="2046" spans="1:1">
      <c r="A2046" s="1" t="str">
        <f>"15076688638"</f>
        <v>15076688638</v>
      </c>
    </row>
    <row r="2047" spans="1:1">
      <c r="A2047" s="1" t="str">
        <f>"13733621802"</f>
        <v>13733621802</v>
      </c>
    </row>
    <row r="2048" spans="1:1">
      <c r="A2048" s="1" t="str">
        <f>"13691001276"</f>
        <v>13691001276</v>
      </c>
    </row>
    <row r="2049" spans="1:1">
      <c r="A2049" s="1" t="str">
        <f>"13582464609"</f>
        <v>13582464609</v>
      </c>
    </row>
    <row r="2050" spans="1:1">
      <c r="A2050" s="1" t="str">
        <f>"18732608881"</f>
        <v>18732608881</v>
      </c>
    </row>
    <row r="2051" spans="1:1">
      <c r="A2051" s="1" t="str">
        <f>"18732611018"</f>
        <v>18732611018</v>
      </c>
    </row>
    <row r="2052" spans="1:1">
      <c r="A2052" s="1" t="str">
        <f>"13323165718"</f>
        <v>13323165718</v>
      </c>
    </row>
    <row r="2053" spans="1:1">
      <c r="A2053" s="1" t="str">
        <f>"18612941112"</f>
        <v>18612941112</v>
      </c>
    </row>
    <row r="2054" spans="1:1">
      <c r="A2054" s="1" t="str">
        <f>"13672190797"</f>
        <v>13672190797</v>
      </c>
    </row>
    <row r="2055" spans="1:1">
      <c r="A2055" s="1" t="str">
        <f>"13930679792"</f>
        <v>13930679792</v>
      </c>
    </row>
    <row r="2056" spans="1:1">
      <c r="A2056" s="1" t="str">
        <f>"13691219490"</f>
        <v>13691219490</v>
      </c>
    </row>
    <row r="2057" spans="1:1">
      <c r="A2057" s="1" t="str">
        <f>"13911284005"</f>
        <v>13911284005</v>
      </c>
    </row>
    <row r="2058" spans="1:1">
      <c r="A2058" s="1" t="str">
        <f>"13521668635"</f>
        <v>13521668635</v>
      </c>
    </row>
    <row r="2059" spans="1:1">
      <c r="A2059" s="1" t="str">
        <f>"18226343385"</f>
        <v>18226343385</v>
      </c>
    </row>
    <row r="2060" spans="1:1">
      <c r="A2060" s="1" t="str">
        <f>"13513015853"</f>
        <v>13513015853</v>
      </c>
    </row>
    <row r="2061" spans="1:1">
      <c r="A2061" s="1" t="str">
        <f>"18256828287"</f>
        <v>18256828287</v>
      </c>
    </row>
    <row r="2062" spans="1:1">
      <c r="A2062" s="1" t="str">
        <f>"13695580825"</f>
        <v>13695580825</v>
      </c>
    </row>
    <row r="2063" spans="1:1">
      <c r="A2063" s="1" t="str">
        <f>"13662122340"</f>
        <v>13662122340</v>
      </c>
    </row>
    <row r="2064" spans="1:1">
      <c r="A2064" s="1" t="str">
        <f>"15620410559"</f>
        <v>15620410559</v>
      </c>
    </row>
    <row r="2065" spans="1:1">
      <c r="A2065" s="1" t="str">
        <f>"18832684719"</f>
        <v>18832684719</v>
      </c>
    </row>
    <row r="2066" spans="1:1">
      <c r="A2066" s="1" t="str">
        <f>"13717707833"</f>
        <v>13717707833</v>
      </c>
    </row>
    <row r="2067" spans="1:1">
      <c r="A2067" s="1" t="str">
        <f>"15620209093"</f>
        <v>15620209093</v>
      </c>
    </row>
    <row r="2068" spans="1:1">
      <c r="A2068" s="1" t="str">
        <f>"13811164194"</f>
        <v>13811164194</v>
      </c>
    </row>
    <row r="2069" spans="1:1">
      <c r="A2069" s="1" t="str">
        <f>"18832021111"</f>
        <v>18832021111</v>
      </c>
    </row>
    <row r="2070" spans="1:1">
      <c r="A2070" s="1" t="str">
        <f>"13920010070"</f>
        <v>13920010070</v>
      </c>
    </row>
    <row r="2071" spans="1:1">
      <c r="A2071" s="1" t="str">
        <f>"13146118731"</f>
        <v>13146118731</v>
      </c>
    </row>
    <row r="2072" spans="1:1">
      <c r="A2072" s="1" t="str">
        <f>"13910163716"</f>
        <v>13910163716</v>
      </c>
    </row>
    <row r="2073" spans="1:1">
      <c r="A2073" s="1" t="str">
        <f>"18533665786"</f>
        <v>18533665786</v>
      </c>
    </row>
    <row r="2074" spans="1:1">
      <c r="A2074" s="1" t="str">
        <f>"18911914985"</f>
        <v>18911914985</v>
      </c>
    </row>
    <row r="2075" spans="1:1">
      <c r="A2075" s="1" t="str">
        <f>"13352058020"</f>
        <v>13352058020</v>
      </c>
    </row>
    <row r="2076" spans="1:1">
      <c r="A2076" s="1" t="str">
        <f>"18920330396"</f>
        <v>18920330396</v>
      </c>
    </row>
    <row r="2077" spans="1:1">
      <c r="A2077" s="1" t="str">
        <f>"19331685056"</f>
        <v>19331685056</v>
      </c>
    </row>
    <row r="2078" spans="1:1">
      <c r="A2078" s="1" t="str">
        <f>"13635582252"</f>
        <v>13635582252</v>
      </c>
    </row>
    <row r="2079" spans="1:1">
      <c r="A2079" s="1" t="str">
        <f>"18605583326"</f>
        <v>18605583326</v>
      </c>
    </row>
    <row r="2080" spans="1:1">
      <c r="A2080" s="1" t="str">
        <f>"13966809479"</f>
        <v>13966809479</v>
      </c>
    </row>
    <row r="2081" spans="1:1">
      <c r="A2081" s="1" t="str">
        <f>"13370321622"</f>
        <v>13370321622</v>
      </c>
    </row>
    <row r="2082" spans="1:1">
      <c r="A2082" s="1" t="str">
        <f>"13805582802"</f>
        <v>13805582802</v>
      </c>
    </row>
    <row r="2083" spans="1:1">
      <c r="A2083" s="1" t="str">
        <f>"13603164512"</f>
        <v>13603164512</v>
      </c>
    </row>
    <row r="2084" spans="1:1">
      <c r="A2084" s="1" t="str">
        <f>"15955694597"</f>
        <v>15955694597</v>
      </c>
    </row>
    <row r="2085" spans="1:1">
      <c r="A2085" s="1" t="str">
        <f>"19567991679"</f>
        <v>19567991679</v>
      </c>
    </row>
    <row r="2086" spans="1:1">
      <c r="A2086" s="1" t="str">
        <f>"15302070131"</f>
        <v>15302070131</v>
      </c>
    </row>
    <row r="2087" spans="1:1">
      <c r="A2087" s="1" t="str">
        <f>"15856807264"</f>
        <v>15856807264</v>
      </c>
    </row>
    <row r="2088" spans="1:1">
      <c r="A2088" s="1" t="str">
        <f>"15655872529"</f>
        <v>15655872529</v>
      </c>
    </row>
    <row r="2089" spans="1:1">
      <c r="A2089" s="1" t="str">
        <f>"18055858922"</f>
        <v>18055858922</v>
      </c>
    </row>
    <row r="2090" spans="1:1">
      <c r="A2090" s="1" t="str">
        <f>"13012230140"</f>
        <v>13012230140</v>
      </c>
    </row>
    <row r="2091" spans="1:1">
      <c r="A2091" s="1" t="str">
        <f>"13966808738"</f>
        <v>13966808738</v>
      </c>
    </row>
    <row r="2092" spans="1:1">
      <c r="A2092" s="1" t="str">
        <f>"13075023929"</f>
        <v>13075023929</v>
      </c>
    </row>
    <row r="2093" spans="1:1">
      <c r="A2093" s="1" t="str">
        <f>"13439319892"</f>
        <v>13439319892</v>
      </c>
    </row>
    <row r="2094" spans="1:1">
      <c r="A2094" s="1" t="str">
        <f>"18645199655"</f>
        <v>18645199655</v>
      </c>
    </row>
    <row r="2095" spans="1:1">
      <c r="A2095" s="1" t="str">
        <f>"18813110936"</f>
        <v>18813110936</v>
      </c>
    </row>
    <row r="2096" spans="1:1">
      <c r="A2096" s="1" t="str">
        <f>"18233905737"</f>
        <v>18233905737</v>
      </c>
    </row>
    <row r="2097" spans="1:1">
      <c r="A2097" s="1" t="str">
        <f>"18810515371"</f>
        <v>18810515371</v>
      </c>
    </row>
    <row r="2098" spans="1:1">
      <c r="A2098" s="1" t="str">
        <f>"15110271643"</f>
        <v>15110271643</v>
      </c>
    </row>
    <row r="2099" spans="1:1">
      <c r="A2099" s="1" t="str">
        <f>"19503168286"</f>
        <v>19503168286</v>
      </c>
    </row>
    <row r="2100" spans="1:1">
      <c r="A2100" s="1" t="str">
        <f>"13029295941"</f>
        <v>13029295941</v>
      </c>
    </row>
    <row r="2101" spans="1:1">
      <c r="A2101" s="1" t="str">
        <f>"13581925128"</f>
        <v>13581925128</v>
      </c>
    </row>
    <row r="2102" spans="1:1">
      <c r="A2102" s="1" t="str">
        <f>"13304298722"</f>
        <v>13304298722</v>
      </c>
    </row>
    <row r="2103" spans="1:1">
      <c r="A2103" s="1" t="str">
        <f>"15003469495"</f>
        <v>15003469495</v>
      </c>
    </row>
    <row r="2104" spans="1:1">
      <c r="A2104" s="1" t="str">
        <f>"18910505001"</f>
        <v>18910505001</v>
      </c>
    </row>
    <row r="2105" spans="1:1">
      <c r="A2105" s="1" t="str">
        <f>"15831691201"</f>
        <v>15831691201</v>
      </c>
    </row>
    <row r="2106" spans="1:1">
      <c r="A2106" s="1" t="str">
        <f>"18956732758"</f>
        <v>18956732758</v>
      </c>
    </row>
    <row r="2107" spans="1:1">
      <c r="A2107" s="1" t="str">
        <f>"18130741950"</f>
        <v>18130741950</v>
      </c>
    </row>
    <row r="2108" spans="1:1">
      <c r="A2108" s="1" t="str">
        <f>"15395580916"</f>
        <v>15395580916</v>
      </c>
    </row>
    <row r="2109" spans="1:1">
      <c r="A2109" s="1" t="str">
        <f>"15168331965"</f>
        <v>15168331965</v>
      </c>
    </row>
    <row r="2110" spans="1:1">
      <c r="A2110" s="1" t="str">
        <f>"18701649722"</f>
        <v>18701649722</v>
      </c>
    </row>
    <row r="2111" spans="1:1">
      <c r="A2111" s="1" t="str">
        <f>"13520258018"</f>
        <v>13520258018</v>
      </c>
    </row>
    <row r="2112" spans="1:1">
      <c r="A2112" s="1" t="str">
        <f>"13601150833"</f>
        <v>13601150833</v>
      </c>
    </row>
    <row r="2113" spans="1:1">
      <c r="A2113" s="1" t="str">
        <f>"15369463188"</f>
        <v>15369463188</v>
      </c>
    </row>
    <row r="2114" spans="1:1">
      <c r="A2114" s="1" t="str">
        <f>"13601311540"</f>
        <v>13601311540</v>
      </c>
    </row>
    <row r="2115" spans="1:1">
      <c r="A2115" s="1" t="str">
        <f>"13332235782"</f>
        <v>13332235782</v>
      </c>
    </row>
    <row r="2116" spans="1:1">
      <c r="A2116" s="1" t="str">
        <f>"18633560288"</f>
        <v>18633560288</v>
      </c>
    </row>
    <row r="2117" spans="1:1">
      <c r="A2117" s="1" t="str">
        <f>"19131648980"</f>
        <v>19131648980</v>
      </c>
    </row>
    <row r="2118" spans="1:1">
      <c r="A2118" s="1" t="str">
        <f>"15855842338"</f>
        <v>15855842338</v>
      </c>
    </row>
    <row r="2119" spans="1:1">
      <c r="A2119" s="1" t="str">
        <f>"15930635635"</f>
        <v>15930635635</v>
      </c>
    </row>
    <row r="2120" spans="1:1">
      <c r="A2120" s="1" t="str">
        <f>"18605584672"</f>
        <v>18605584672</v>
      </c>
    </row>
    <row r="2121" spans="1:1">
      <c r="A2121" s="1" t="str">
        <f>"15956872031"</f>
        <v>15956872031</v>
      </c>
    </row>
    <row r="2122" spans="1:1">
      <c r="A2122" s="1" t="str">
        <f>"13764816936"</f>
        <v>13764816936</v>
      </c>
    </row>
    <row r="2123" spans="1:1">
      <c r="A2123" s="1" t="str">
        <f>"18002098832"</f>
        <v>18002098832</v>
      </c>
    </row>
    <row r="2124" spans="1:1">
      <c r="A2124" s="1" t="str">
        <f>"15055541145"</f>
        <v>15055541145</v>
      </c>
    </row>
    <row r="2125" spans="1:1">
      <c r="A2125" s="1" t="str">
        <f>"18655880528"</f>
        <v>18655880528</v>
      </c>
    </row>
    <row r="2126" spans="1:1">
      <c r="A2126" s="1" t="str">
        <f>"13635687446"</f>
        <v>13635687446</v>
      </c>
    </row>
    <row r="2127" spans="1:1">
      <c r="A2127" s="1" t="str">
        <f>"18355894086"</f>
        <v>18355894086</v>
      </c>
    </row>
    <row r="2128" spans="1:1">
      <c r="A2128" s="1" t="str">
        <f>"18618420415"</f>
        <v>18618420415</v>
      </c>
    </row>
    <row r="2129" spans="1:1">
      <c r="A2129" s="1" t="str">
        <f>"13643166663"</f>
        <v>13643166663</v>
      </c>
    </row>
    <row r="2130" spans="1:1">
      <c r="A2130" s="1" t="str">
        <f>"18326882384"</f>
        <v>18326882384</v>
      </c>
    </row>
    <row r="2131" spans="1:1">
      <c r="A2131" s="1" t="str">
        <f>"18612062381"</f>
        <v>18612062381</v>
      </c>
    </row>
    <row r="2132" spans="1:1">
      <c r="A2132" s="1" t="str">
        <f>"15856801475"</f>
        <v>15856801475</v>
      </c>
    </row>
    <row r="2133" spans="1:1">
      <c r="A2133" s="1" t="str">
        <f>"15510073258"</f>
        <v>15510073258</v>
      </c>
    </row>
    <row r="2134" spans="1:1">
      <c r="A2134" s="1" t="str">
        <f>"13661813057"</f>
        <v>13661813057</v>
      </c>
    </row>
    <row r="2135" spans="1:1">
      <c r="A2135" s="1" t="str">
        <f>"13014071327"</f>
        <v>13014071327</v>
      </c>
    </row>
    <row r="2136" spans="1:1">
      <c r="A2136" s="1" t="str">
        <f>"13966544785"</f>
        <v>13966544785</v>
      </c>
    </row>
    <row r="2137" spans="1:1">
      <c r="A2137" s="1" t="str">
        <f>"18130716666"</f>
        <v>18130716666</v>
      </c>
    </row>
    <row r="2138" spans="1:1">
      <c r="A2138" s="1" t="str">
        <f>"17501088896"</f>
        <v>17501088896</v>
      </c>
    </row>
    <row r="2139" spans="1:1">
      <c r="A2139" s="1" t="str">
        <f>"18269990767"</f>
        <v>18269990767</v>
      </c>
    </row>
    <row r="2140" spans="1:1">
      <c r="A2140" s="1" t="str">
        <f>"13653376505"</f>
        <v>13653376505</v>
      </c>
    </row>
    <row r="2141" spans="1:1">
      <c r="A2141" s="1" t="str">
        <f>"19955822637"</f>
        <v>19955822637</v>
      </c>
    </row>
    <row r="2142" spans="1:1">
      <c r="A2142" s="1" t="str">
        <f>"13865851052"</f>
        <v>13865851052</v>
      </c>
    </row>
    <row r="2143" spans="1:1">
      <c r="A2143" s="1" t="str">
        <f>"15311320010"</f>
        <v>15311320010</v>
      </c>
    </row>
    <row r="2144" spans="1:1">
      <c r="A2144" s="1" t="str">
        <f>"15856970271"</f>
        <v>15856970271</v>
      </c>
    </row>
    <row r="2145" spans="1:1">
      <c r="A2145" s="1" t="str">
        <f>"13116188682"</f>
        <v>13116188682</v>
      </c>
    </row>
    <row r="2146" spans="1:1">
      <c r="A2146" s="1" t="str">
        <f>"15955890160"</f>
        <v>15955890160</v>
      </c>
    </row>
    <row r="2147" spans="1:1">
      <c r="A2147" s="1" t="str">
        <f>"15755827412"</f>
        <v>15755827412</v>
      </c>
    </row>
    <row r="2148" spans="1:1">
      <c r="A2148" s="1" t="str">
        <f>"13626627638"</f>
        <v>13626627638</v>
      </c>
    </row>
    <row r="2149" spans="1:1">
      <c r="A2149" s="1" t="str">
        <f>"15122125034"</f>
        <v>15122125034</v>
      </c>
    </row>
    <row r="2150" spans="1:1">
      <c r="A2150" s="1" t="str">
        <f>"18756876126"</f>
        <v>18756876126</v>
      </c>
    </row>
    <row r="2151" spans="1:1">
      <c r="A2151" s="1" t="str">
        <f>"13473618798"</f>
        <v>13473618798</v>
      </c>
    </row>
    <row r="2152" spans="1:1">
      <c r="A2152" s="1" t="str">
        <f>"13752708552"</f>
        <v>13752708552</v>
      </c>
    </row>
    <row r="2153" spans="1:1">
      <c r="A2153" s="1" t="str">
        <f>"15357691222"</f>
        <v>15357691222</v>
      </c>
    </row>
    <row r="2154" spans="1:1">
      <c r="A2154" s="1" t="str">
        <f>"18756831905"</f>
        <v>18756831905</v>
      </c>
    </row>
    <row r="2155" spans="1:1">
      <c r="A2155" s="1" t="str">
        <f>"18801218783"</f>
        <v>18801218783</v>
      </c>
    </row>
    <row r="2156" spans="1:1">
      <c r="A2156" s="1" t="str">
        <f>"15313169676"</f>
        <v>15313169676</v>
      </c>
    </row>
    <row r="2157" spans="1:1">
      <c r="A2157" s="1" t="str">
        <f>"18631622687"</f>
        <v>18631622687</v>
      </c>
    </row>
    <row r="2158" spans="1:1">
      <c r="A2158" s="1" t="str">
        <f>"13956755215"</f>
        <v>13956755215</v>
      </c>
    </row>
    <row r="2159" spans="1:1">
      <c r="A2159" s="1" t="str">
        <f>"13731620362"</f>
        <v>13731620362</v>
      </c>
    </row>
    <row r="2160" spans="1:1">
      <c r="A2160" s="1" t="str">
        <f>"18256820293"</f>
        <v>18256820293</v>
      </c>
    </row>
    <row r="2161" spans="1:1">
      <c r="A2161" s="1" t="str">
        <f>"15076665924"</f>
        <v>15076665924</v>
      </c>
    </row>
    <row r="2162" spans="1:1">
      <c r="A2162" s="1" t="str">
        <f>"13996686740"</f>
        <v>13996686740</v>
      </c>
    </row>
    <row r="2163" spans="1:1">
      <c r="A2163" s="1" t="str">
        <f>"13699220488"</f>
        <v>13699220488</v>
      </c>
    </row>
    <row r="2164" spans="1:1">
      <c r="A2164" s="1" t="str">
        <f>"18732690626"</f>
        <v>18732690626</v>
      </c>
    </row>
    <row r="2165" spans="1:1">
      <c r="A2165" s="1" t="str">
        <f>"13832656356"</f>
        <v>13832656356</v>
      </c>
    </row>
    <row r="2166" spans="1:1">
      <c r="A2166" s="1" t="str">
        <f>"13516134408"</f>
        <v>13516134408</v>
      </c>
    </row>
    <row r="2167" spans="1:1">
      <c r="A2167" s="1" t="str">
        <f>"13031487064"</f>
        <v>13031487064</v>
      </c>
    </row>
    <row r="2168" spans="1:1">
      <c r="A2168" s="1" t="str">
        <f>"15127325355"</f>
        <v>15127325355</v>
      </c>
    </row>
    <row r="2169" spans="1:1">
      <c r="A2169" s="1" t="str">
        <f>"15330229961"</f>
        <v>15330229961</v>
      </c>
    </row>
    <row r="2170" spans="1:1">
      <c r="A2170" s="1" t="str">
        <f>"18009683233"</f>
        <v>18009683233</v>
      </c>
    </row>
    <row r="2171" spans="1:1">
      <c r="A2171" s="1" t="str">
        <f>"15311090015"</f>
        <v>15311090015</v>
      </c>
    </row>
    <row r="2172" spans="1:1">
      <c r="A2172" s="1" t="str">
        <f>"15510135809"</f>
        <v>15510135809</v>
      </c>
    </row>
    <row r="2173" spans="1:1">
      <c r="A2173" s="1" t="str">
        <f>"18112529174"</f>
        <v>18112529174</v>
      </c>
    </row>
    <row r="2174" spans="1:1">
      <c r="A2174" s="1" t="str">
        <f>"13811258331"</f>
        <v>13811258331</v>
      </c>
    </row>
    <row r="2175" spans="1:1">
      <c r="A2175" s="1" t="str">
        <f>"18612707882"</f>
        <v>18612707882</v>
      </c>
    </row>
    <row r="2176" spans="1:1">
      <c r="A2176" s="1" t="str">
        <f>"15832356608"</f>
        <v>15832356608</v>
      </c>
    </row>
    <row r="2177" spans="1:1">
      <c r="A2177" s="1" t="str">
        <f>"13866265417"</f>
        <v>13866265417</v>
      </c>
    </row>
    <row r="2178" spans="1:1">
      <c r="A2178" s="1" t="str">
        <f>"13931680003"</f>
        <v>13931680003</v>
      </c>
    </row>
    <row r="2179" spans="1:1">
      <c r="A2179" s="1" t="str">
        <f>"13718629415"</f>
        <v>13718629415</v>
      </c>
    </row>
    <row r="2180" spans="1:1">
      <c r="A2180" s="1" t="str">
        <f>"15132605789"</f>
        <v>15132605789</v>
      </c>
    </row>
    <row r="2181" spans="1:1">
      <c r="A2181" s="1" t="str">
        <f>"13932675654"</f>
        <v>13932675654</v>
      </c>
    </row>
    <row r="2182" spans="1:1">
      <c r="A2182" s="1" t="str">
        <f>"18332558332"</f>
        <v>18332558332</v>
      </c>
    </row>
    <row r="2183" spans="1:1">
      <c r="A2183" s="1" t="str">
        <f>"13785670808"</f>
        <v>13785670808</v>
      </c>
    </row>
    <row r="2184" spans="1:1">
      <c r="A2184" s="1" t="str">
        <f>"19931826600"</f>
        <v>19931826600</v>
      </c>
    </row>
    <row r="2185" spans="1:1">
      <c r="A2185" s="1" t="str">
        <f>"18600562408"</f>
        <v>18600562408</v>
      </c>
    </row>
    <row r="2186" spans="1:1">
      <c r="A2186" s="1" t="str">
        <f>"15100610526"</f>
        <v>15100610526</v>
      </c>
    </row>
    <row r="2187" spans="1:1">
      <c r="A2187" s="1" t="str">
        <f>"13722637766"</f>
        <v>13722637766</v>
      </c>
    </row>
    <row r="2188" spans="1:1">
      <c r="A2188" s="1" t="str">
        <f>"17319065680"</f>
        <v>17319065680</v>
      </c>
    </row>
    <row r="2189" spans="1:1">
      <c r="A2189" s="1" t="str">
        <f>"15128652813"</f>
        <v>15128652813</v>
      </c>
    </row>
    <row r="2190" spans="1:1">
      <c r="A2190" s="1" t="str">
        <f>"15350708750"</f>
        <v>15350708750</v>
      </c>
    </row>
    <row r="2191" spans="1:1">
      <c r="A2191" s="1" t="str">
        <f>"15081368836"</f>
        <v>15081368836</v>
      </c>
    </row>
    <row r="2192" spans="1:1">
      <c r="A2192" s="1" t="str">
        <f>"15832639997"</f>
        <v>15832639997</v>
      </c>
    </row>
    <row r="2193" spans="1:1">
      <c r="A2193" s="1" t="str">
        <f>"15932603960"</f>
        <v>15932603960</v>
      </c>
    </row>
    <row r="2194" spans="1:1">
      <c r="A2194" s="1" t="str">
        <f>"13911110382"</f>
        <v>13911110382</v>
      </c>
    </row>
    <row r="2195" spans="1:1">
      <c r="A2195" s="1" t="str">
        <f>"15811341156"</f>
        <v>15811341156</v>
      </c>
    </row>
    <row r="2196" spans="1:1">
      <c r="A2196" s="1" t="str">
        <f>"18256023029"</f>
        <v>18256023029</v>
      </c>
    </row>
    <row r="2197" spans="1:1">
      <c r="A2197" s="1" t="str">
        <f>"13075025199"</f>
        <v>13075025199</v>
      </c>
    </row>
    <row r="2198" spans="1:1">
      <c r="A2198" s="1" t="str">
        <f>"15122668244"</f>
        <v>15122668244</v>
      </c>
    </row>
    <row r="2199" spans="1:1">
      <c r="A2199" s="1" t="str">
        <f>"13820595036"</f>
        <v>13820595036</v>
      </c>
    </row>
    <row r="2200" spans="1:1">
      <c r="A2200" s="1" t="str">
        <f>"18855843452"</f>
        <v>18855843452</v>
      </c>
    </row>
    <row r="2201" spans="1:1">
      <c r="A2201" s="1" t="str">
        <f>"18155828082"</f>
        <v>18155828082</v>
      </c>
    </row>
    <row r="2202" spans="1:1">
      <c r="A2202" s="1" t="str">
        <f>"15002262317"</f>
        <v>15002262317</v>
      </c>
    </row>
    <row r="2203" spans="1:1">
      <c r="A2203" s="1" t="str">
        <f>"13785611407"</f>
        <v>13785611407</v>
      </c>
    </row>
    <row r="2204" spans="1:1">
      <c r="A2204" s="1" t="str">
        <f>"18226239255"</f>
        <v>18226239255</v>
      </c>
    </row>
    <row r="2205" spans="1:1">
      <c r="A2205" s="1" t="str">
        <f>"13785664097"</f>
        <v>13785664097</v>
      </c>
    </row>
    <row r="2206" spans="1:1">
      <c r="A2206" s="1" t="str">
        <f>"18226326337"</f>
        <v>18226326337</v>
      </c>
    </row>
    <row r="2207" spans="1:1">
      <c r="A2207" s="1" t="str">
        <f>"15258958968"</f>
        <v>15258958968</v>
      </c>
    </row>
    <row r="2208" spans="1:1">
      <c r="A2208" s="1" t="str">
        <f>"13855823585"</f>
        <v>13855823585</v>
      </c>
    </row>
    <row r="2209" spans="1:1">
      <c r="A2209" s="1" t="str">
        <f>"18326896605"</f>
        <v>18326896605</v>
      </c>
    </row>
    <row r="2210" spans="1:1">
      <c r="A2210" s="1" t="str">
        <f>"18955876396"</f>
        <v>18955876396</v>
      </c>
    </row>
    <row r="2211" spans="1:1">
      <c r="A2211" s="1" t="str">
        <f>"17682881379"</f>
        <v>17682881379</v>
      </c>
    </row>
    <row r="2212" spans="1:1">
      <c r="A2212" s="1" t="str">
        <f>"15650790135"</f>
        <v>15650790135</v>
      </c>
    </row>
    <row r="2213" spans="1:1">
      <c r="A2213" s="1" t="str">
        <f>"18912012230"</f>
        <v>18912012230</v>
      </c>
    </row>
    <row r="2214" spans="1:1">
      <c r="A2214" s="1" t="str">
        <f>"15555980908"</f>
        <v>15555980908</v>
      </c>
    </row>
    <row r="2215" spans="1:1">
      <c r="A2215" s="1" t="str">
        <f>"18131794529"</f>
        <v>18131794529</v>
      </c>
    </row>
    <row r="2216" spans="1:1">
      <c r="A2216" s="1" t="str">
        <f>"13965579550"</f>
        <v>13965579550</v>
      </c>
    </row>
    <row r="2217" spans="1:1">
      <c r="A2217" s="1" t="str">
        <f>"13866248020"</f>
        <v>13866248020</v>
      </c>
    </row>
    <row r="2218" spans="1:1">
      <c r="A2218" s="1" t="str">
        <f>"15133687658"</f>
        <v>15133687658</v>
      </c>
    </row>
    <row r="2219" spans="1:1">
      <c r="A2219" s="1" t="str">
        <f>"15890539041"</f>
        <v>15890539041</v>
      </c>
    </row>
    <row r="2220" spans="1:1">
      <c r="A2220" s="1" t="str">
        <f>"18631500624"</f>
        <v>18631500624</v>
      </c>
    </row>
    <row r="2221" spans="1:1">
      <c r="A2221" s="1" t="str">
        <f>"15222536720"</f>
        <v>15222536720</v>
      </c>
    </row>
    <row r="2222" spans="1:1">
      <c r="A2222" s="1" t="str">
        <f>"15855488361"</f>
        <v>15855488361</v>
      </c>
    </row>
    <row r="2223" spans="1:1">
      <c r="A2223" s="1" t="str">
        <f>"15931108807"</f>
        <v>15931108807</v>
      </c>
    </row>
    <row r="2224" spans="1:1">
      <c r="A2224" s="1" t="str">
        <f>"18131613208"</f>
        <v>18131613208</v>
      </c>
    </row>
    <row r="2225" spans="1:1">
      <c r="A2225" s="1" t="str">
        <f>"17600876397"</f>
        <v>17600876397</v>
      </c>
    </row>
    <row r="2226" spans="1:1">
      <c r="A2226" s="1" t="str">
        <f>"15210943282"</f>
        <v>15210943282</v>
      </c>
    </row>
    <row r="2227" spans="1:1">
      <c r="A2227" s="1" t="str">
        <f>"18034065731"</f>
        <v>18034065731</v>
      </c>
    </row>
    <row r="2228" spans="1:1">
      <c r="A2228" s="1" t="str">
        <f>"15320155036"</f>
        <v>15320155036</v>
      </c>
    </row>
    <row r="2229" spans="1:1">
      <c r="A2229" s="1" t="str">
        <f>"15652292165"</f>
        <v>15652292165</v>
      </c>
    </row>
    <row r="2230" spans="1:1">
      <c r="A2230" s="1" t="str">
        <f>"13805582802"</f>
        <v>13805582802</v>
      </c>
    </row>
    <row r="2231" spans="1:1">
      <c r="A2231" s="1" t="str">
        <f>"13373165202"</f>
        <v>13373165202</v>
      </c>
    </row>
    <row r="2232" spans="1:1">
      <c r="A2232" s="1" t="str">
        <f>"18301060026"</f>
        <v>18301060026</v>
      </c>
    </row>
    <row r="2233" spans="1:1">
      <c r="A2233" s="1" t="str">
        <f>"17801021935"</f>
        <v>17801021935</v>
      </c>
    </row>
    <row r="2234" spans="1:1">
      <c r="A2234" s="1" t="str">
        <f>"18665805677"</f>
        <v>18665805677</v>
      </c>
    </row>
    <row r="2235" spans="1:1">
      <c r="A2235" s="1" t="str">
        <f>"15732659050"</f>
        <v>15732659050</v>
      </c>
    </row>
    <row r="2236" spans="1:1">
      <c r="A2236" s="1" t="str">
        <f>"18612648325"</f>
        <v>18612648325</v>
      </c>
    </row>
    <row r="2237" spans="1:1">
      <c r="A2237" s="1" t="str">
        <f>"13380098666"</f>
        <v>13380098666</v>
      </c>
    </row>
    <row r="2238" spans="1:1">
      <c r="A2238" s="1" t="str">
        <f>"18686071949"</f>
        <v>18686071949</v>
      </c>
    </row>
    <row r="2239" spans="1:1">
      <c r="A2239" s="1" t="str">
        <f>"18032600997"</f>
        <v>18032600997</v>
      </c>
    </row>
    <row r="2240" spans="1:1">
      <c r="A2240" s="1" t="str">
        <f>"13602165646"</f>
        <v>13602165646</v>
      </c>
    </row>
    <row r="2241" spans="1:1">
      <c r="A2241" s="1" t="str">
        <f>"15168267754"</f>
        <v>15168267754</v>
      </c>
    </row>
    <row r="2242" spans="1:1">
      <c r="A2242" s="1" t="str">
        <f>"15955871987"</f>
        <v>15955871987</v>
      </c>
    </row>
    <row r="2243" spans="1:1">
      <c r="A2243" s="1" t="str">
        <f>"17755874794"</f>
        <v>17755874794</v>
      </c>
    </row>
    <row r="2244" spans="1:1">
      <c r="A2244" s="1" t="str">
        <f>"18325848082"</f>
        <v>18325848082</v>
      </c>
    </row>
    <row r="2245" spans="1:1">
      <c r="A2245" s="1" t="str">
        <f>"13260055633"</f>
        <v>13260055633</v>
      </c>
    </row>
    <row r="2246" spans="1:1">
      <c r="A2246" s="1" t="str">
        <f>"18622259232"</f>
        <v>18622259232</v>
      </c>
    </row>
    <row r="2247" spans="1:1">
      <c r="A2247" s="1" t="str">
        <f>"15556880073"</f>
        <v>15556880073</v>
      </c>
    </row>
    <row r="2248" spans="1:1">
      <c r="A2248" s="1" t="str">
        <f>"19856885180"</f>
        <v>19856885180</v>
      </c>
    </row>
    <row r="2249" spans="1:1">
      <c r="A2249" s="1" t="str">
        <f>"15601926841"</f>
        <v>15601926841</v>
      </c>
    </row>
    <row r="2250" spans="1:1">
      <c r="A2250" s="1" t="str">
        <f>"15968794136"</f>
        <v>15968794136</v>
      </c>
    </row>
    <row r="2251" spans="1:1">
      <c r="A2251" s="1" t="str">
        <f>"19154801619"</f>
        <v>19154801619</v>
      </c>
    </row>
    <row r="2252" spans="1:1">
      <c r="A2252" s="1" t="str">
        <f>"15075654823"</f>
        <v>15075654823</v>
      </c>
    </row>
    <row r="2253" spans="1:1">
      <c r="A2253" s="1" t="str">
        <f>"13688807912"</f>
        <v>13688807912</v>
      </c>
    </row>
    <row r="2254" spans="1:1">
      <c r="A2254" s="1" t="str">
        <f>"15258527994"</f>
        <v>15258527994</v>
      </c>
    </row>
    <row r="2255" spans="1:1">
      <c r="A2255" s="1" t="str">
        <f>"15105681087"</f>
        <v>15105681087</v>
      </c>
    </row>
    <row r="2256" spans="1:1">
      <c r="A2256" s="1" t="str">
        <f>"13586030394"</f>
        <v>13586030394</v>
      </c>
    </row>
    <row r="2257" spans="1:1">
      <c r="A2257" s="1" t="str">
        <f>"18389119540"</f>
        <v>18389119540</v>
      </c>
    </row>
    <row r="2258" spans="1:1">
      <c r="A2258" s="1" t="str">
        <f>"15988220892"</f>
        <v>15988220892</v>
      </c>
    </row>
    <row r="2259" spans="1:1">
      <c r="A2259" s="1" t="str">
        <f>"19333078390"</f>
        <v>19333078390</v>
      </c>
    </row>
    <row r="2260" spans="1:1">
      <c r="A2260" s="1" t="str">
        <f>"15133737244"</f>
        <v>15133737244</v>
      </c>
    </row>
    <row r="2261" spans="1:1">
      <c r="A2261" s="1" t="str">
        <f>"18232757518"</f>
        <v>18232757518</v>
      </c>
    </row>
    <row r="2262" spans="1:1">
      <c r="A2262" s="1" t="str">
        <f>"17856581549"</f>
        <v>17856581549</v>
      </c>
    </row>
    <row r="2263" spans="1:1">
      <c r="A2263" s="1" t="str">
        <f>"13329087068"</f>
        <v>13329087068</v>
      </c>
    </row>
    <row r="2264" spans="1:1">
      <c r="A2264" s="1" t="str">
        <f>"19931825526"</f>
        <v>19931825526</v>
      </c>
    </row>
    <row r="2265" spans="1:1">
      <c r="A2265" s="1" t="str">
        <f>"13716373161"</f>
        <v>13716373161</v>
      </c>
    </row>
    <row r="2266" spans="1:1">
      <c r="A2266" s="1" t="str">
        <f>"15810101047"</f>
        <v>15810101047</v>
      </c>
    </row>
    <row r="2267" spans="1:1">
      <c r="A2267" s="1" t="str">
        <f>"18330667412"</f>
        <v>18330667412</v>
      </c>
    </row>
    <row r="2268" spans="1:1">
      <c r="A2268" s="1" t="str">
        <f>"13911319481"</f>
        <v>13911319481</v>
      </c>
    </row>
    <row r="2269" spans="1:1">
      <c r="A2269" s="1" t="str">
        <f>"15222577366"</f>
        <v>15222577366</v>
      </c>
    </row>
    <row r="2270" spans="1:1">
      <c r="A2270" s="1" t="str">
        <f>"18100109918"</f>
        <v>18100109918</v>
      </c>
    </row>
    <row r="2271" spans="1:1">
      <c r="A2271" s="1" t="str">
        <f>"13752540483"</f>
        <v>13752540483</v>
      </c>
    </row>
    <row r="2272" spans="1:1">
      <c r="A2272" s="1" t="str">
        <f>"18616312914"</f>
        <v>18616312914</v>
      </c>
    </row>
    <row r="2273" spans="1:1">
      <c r="A2273" s="1" t="str">
        <f>"18730621371"</f>
        <v>18730621371</v>
      </c>
    </row>
    <row r="2274" spans="1:1">
      <c r="A2274" s="1" t="str">
        <f>"13035086966"</f>
        <v>13035086966</v>
      </c>
    </row>
    <row r="2275" spans="1:1">
      <c r="A2275" s="1" t="str">
        <f>"18612871331"</f>
        <v>18612871331</v>
      </c>
    </row>
    <row r="2276" spans="1:1">
      <c r="A2276" s="1" t="str">
        <f>"15031599217"</f>
        <v>15031599217</v>
      </c>
    </row>
    <row r="2277" spans="1:1">
      <c r="A2277" s="1" t="str">
        <f>"15028391305"</f>
        <v>15028391305</v>
      </c>
    </row>
    <row r="2278" spans="1:1">
      <c r="A2278" s="1" t="str">
        <f>"18255829185"</f>
        <v>18255829185</v>
      </c>
    </row>
    <row r="2279" spans="1:1">
      <c r="A2279" s="1" t="str">
        <f>"15855587585"</f>
        <v>15855587585</v>
      </c>
    </row>
    <row r="2280" spans="1:1">
      <c r="A2280" s="1" t="str">
        <f>"18211156233"</f>
        <v>18211156233</v>
      </c>
    </row>
    <row r="2281" spans="1:1">
      <c r="A2281" s="1" t="str">
        <f>"18302242615"</f>
        <v>18302242615</v>
      </c>
    </row>
    <row r="2282" spans="1:1">
      <c r="A2282" s="1" t="str">
        <f>"15898275567"</f>
        <v>15898275567</v>
      </c>
    </row>
    <row r="2283" spans="1:1">
      <c r="A2283" s="1" t="str">
        <f>"15100670824"</f>
        <v>15100670824</v>
      </c>
    </row>
    <row r="2284" spans="1:1">
      <c r="A2284" s="1" t="str">
        <f>"13273649034"</f>
        <v>13273649034</v>
      </c>
    </row>
    <row r="2285" spans="1:1">
      <c r="A2285" s="1" t="str">
        <f>"15933266496"</f>
        <v>15933266496</v>
      </c>
    </row>
    <row r="2286" spans="1:1">
      <c r="A2286" s="1" t="str">
        <f>"13703261699"</f>
        <v>13703261699</v>
      </c>
    </row>
    <row r="2287" spans="1:1">
      <c r="A2287" s="1" t="str">
        <f>"13653165868"</f>
        <v>13653165868</v>
      </c>
    </row>
    <row r="2288" spans="1:1">
      <c r="A2288" s="1" t="str">
        <f>"13592171705"</f>
        <v>13592171705</v>
      </c>
    </row>
    <row r="2289" spans="1:1">
      <c r="A2289" s="1" t="str">
        <f>"13821015085"</f>
        <v>13821015085</v>
      </c>
    </row>
    <row r="2290" spans="1:1">
      <c r="A2290" s="1" t="str">
        <f>"13833695104"</f>
        <v>13833695104</v>
      </c>
    </row>
    <row r="2291" spans="1:1">
      <c r="A2291" s="1" t="str">
        <f>"18322091908"</f>
        <v>18322091908</v>
      </c>
    </row>
    <row r="2292" spans="1:1">
      <c r="A2292" s="1" t="str">
        <f>"13831611968"</f>
        <v>13831611968</v>
      </c>
    </row>
    <row r="2293" spans="1:1">
      <c r="A2293" s="1" t="str">
        <f>"13135419188"</f>
        <v>13135419188</v>
      </c>
    </row>
    <row r="2294" spans="1:1">
      <c r="A2294" s="1" t="str">
        <f>"13512088967"</f>
        <v>13512088967</v>
      </c>
    </row>
    <row r="2295" spans="1:1">
      <c r="A2295" s="1" t="str">
        <f>"15031606111"</f>
        <v>15031606111</v>
      </c>
    </row>
    <row r="2296" spans="1:1">
      <c r="A2296" s="1" t="str">
        <f>"15022765280"</f>
        <v>15022765280</v>
      </c>
    </row>
    <row r="2297" spans="1:1">
      <c r="A2297" s="1" t="str">
        <f>"17710656532"</f>
        <v>17710656532</v>
      </c>
    </row>
    <row r="2298" spans="1:1">
      <c r="A2298" s="1" t="str">
        <f>"13931658260"</f>
        <v>13931658260</v>
      </c>
    </row>
    <row r="2299" spans="1:1">
      <c r="A2299" s="1" t="str">
        <f>"15230686146"</f>
        <v>15230686146</v>
      </c>
    </row>
    <row r="2300" spans="1:1">
      <c r="A2300" s="1" t="str">
        <f>"18522901660"</f>
        <v>18522901660</v>
      </c>
    </row>
    <row r="2301" spans="1:1">
      <c r="A2301" s="1" t="str">
        <f>"13821162230"</f>
        <v>13821162230</v>
      </c>
    </row>
    <row r="2302" spans="1:1">
      <c r="A2302" s="1" t="str">
        <f>"13810692518"</f>
        <v>13810692518</v>
      </c>
    </row>
    <row r="2303" spans="1:1">
      <c r="A2303" s="1" t="str">
        <f>"18624307730"</f>
        <v>18624307730</v>
      </c>
    </row>
    <row r="2304" spans="1:1">
      <c r="A2304" s="1" t="str">
        <f>"15931666173"</f>
        <v>15931666173</v>
      </c>
    </row>
    <row r="2305" spans="1:1">
      <c r="A2305" s="1" t="str">
        <f>"13515588129"</f>
        <v>13515588129</v>
      </c>
    </row>
    <row r="2306" spans="1:1">
      <c r="A2306" s="1" t="str">
        <f>"13524189337"</f>
        <v>13524189337</v>
      </c>
    </row>
    <row r="2307" spans="1:1">
      <c r="A2307" s="1" t="str">
        <f>"18518619587"</f>
        <v>18518619587</v>
      </c>
    </row>
    <row r="2308" spans="1:1">
      <c r="A2308" s="1" t="str">
        <f>"18110581300"</f>
        <v>18110581300</v>
      </c>
    </row>
    <row r="2309" spans="1:1">
      <c r="A2309" s="1" t="str">
        <f>"18631241821"</f>
        <v>18631241821</v>
      </c>
    </row>
    <row r="2310" spans="1:1">
      <c r="A2310" s="1" t="str">
        <f>"15801951767"</f>
        <v>15801951767</v>
      </c>
    </row>
    <row r="2311" spans="1:1">
      <c r="A2311" s="1" t="str">
        <f>"13905589018"</f>
        <v>13905589018</v>
      </c>
    </row>
    <row r="2312" spans="1:1">
      <c r="A2312" s="1" t="str">
        <f>"13833684028"</f>
        <v>13833684028</v>
      </c>
    </row>
    <row r="2313" spans="1:1">
      <c r="A2313" s="1" t="str">
        <f>"18255824563"</f>
        <v>18255824563</v>
      </c>
    </row>
    <row r="2314" spans="1:1">
      <c r="A2314" s="1" t="str">
        <f>"15201563424"</f>
        <v>15201563424</v>
      </c>
    </row>
    <row r="2315" spans="1:1">
      <c r="A2315" s="1" t="str">
        <f>"13931644071"</f>
        <v>13931644071</v>
      </c>
    </row>
    <row r="2316" spans="1:1">
      <c r="A2316" s="1" t="str">
        <f>"15357667277"</f>
        <v>15357667277</v>
      </c>
    </row>
    <row r="2317" spans="1:1">
      <c r="A2317" s="1" t="str">
        <f>"13393251200"</f>
        <v>13393251200</v>
      </c>
    </row>
    <row r="2318" spans="1:1">
      <c r="A2318" s="1" t="str">
        <f>"13663262453"</f>
        <v>13663262453</v>
      </c>
    </row>
    <row r="2319" spans="1:1">
      <c r="A2319" s="1" t="str">
        <f>"13966555624"</f>
        <v>13966555624</v>
      </c>
    </row>
    <row r="2320" spans="1:1">
      <c r="A2320" s="1" t="str">
        <f>"18330683256"</f>
        <v>18330683256</v>
      </c>
    </row>
    <row r="2321" spans="1:1">
      <c r="A2321" s="1" t="str">
        <f>"15856781957"</f>
        <v>15856781957</v>
      </c>
    </row>
    <row r="2322" spans="1:1">
      <c r="A2322" s="1" t="str">
        <f>"13933297050"</f>
        <v>13933297050</v>
      </c>
    </row>
    <row r="2323" spans="1:1">
      <c r="A2323" s="1" t="str">
        <f>"15127670600"</f>
        <v>15127670600</v>
      </c>
    </row>
    <row r="2324" spans="1:1">
      <c r="A2324" s="1" t="str">
        <f>"18733602144"</f>
        <v>18733602144</v>
      </c>
    </row>
    <row r="2325" spans="1:1">
      <c r="A2325" s="1" t="str">
        <f>"15350681235"</f>
        <v>15350681235</v>
      </c>
    </row>
    <row r="2326" spans="1:1">
      <c r="A2326" s="1" t="str">
        <f>"18069733180"</f>
        <v>18069733180</v>
      </c>
    </row>
    <row r="2327" spans="1:1">
      <c r="A2327" s="1" t="str">
        <f>"13164293560"</f>
        <v>13164293560</v>
      </c>
    </row>
    <row r="2328" spans="1:1">
      <c r="A2328" s="1" t="str">
        <f>"15127686269"</f>
        <v>15127686269</v>
      </c>
    </row>
    <row r="2329" spans="1:1">
      <c r="A2329" s="1" t="str">
        <f>"15127629016"</f>
        <v>15127629016</v>
      </c>
    </row>
    <row r="2330" spans="1:1">
      <c r="A2330" s="1" t="str">
        <f>"17360760329"</f>
        <v>17360760329</v>
      </c>
    </row>
    <row r="2331" spans="1:1">
      <c r="A2331" s="1" t="str">
        <f>"15122898439"</f>
        <v>15122898439</v>
      </c>
    </row>
    <row r="2332" spans="1:1">
      <c r="A2332" s="1" t="str">
        <f>"13782922013"</f>
        <v>13782922013</v>
      </c>
    </row>
    <row r="2333" spans="1:1">
      <c r="A2333" s="1" t="str">
        <f>"15533446674"</f>
        <v>15533446674</v>
      </c>
    </row>
    <row r="2334" spans="1:1">
      <c r="A2334" s="1" t="str">
        <f>"18256815853"</f>
        <v>18256815853</v>
      </c>
    </row>
    <row r="2335" spans="1:1">
      <c r="A2335" s="1" t="str">
        <f>"18655861621"</f>
        <v>18655861621</v>
      </c>
    </row>
    <row r="2336" spans="1:1">
      <c r="A2336" s="1" t="str">
        <f>"15210807302"</f>
        <v>15210807302</v>
      </c>
    </row>
    <row r="2337" spans="1:1">
      <c r="A2337" s="1" t="str">
        <f>"15931610719"</f>
        <v>15931610719</v>
      </c>
    </row>
    <row r="2338" spans="1:1">
      <c r="A2338" s="1" t="str">
        <f>"15555820774"</f>
        <v>15555820774</v>
      </c>
    </row>
    <row r="2339" spans="1:1">
      <c r="A2339" s="1" t="str">
        <f>"18510079264"</f>
        <v>18510079264</v>
      </c>
    </row>
    <row r="2340" spans="1:1">
      <c r="A2340" s="1" t="str">
        <f>"18762672157"</f>
        <v>18762672157</v>
      </c>
    </row>
    <row r="2341" spans="1:1">
      <c r="A2341" s="1" t="str">
        <f>"18661258789"</f>
        <v>18661258789</v>
      </c>
    </row>
    <row r="2342" spans="1:1">
      <c r="A2342" s="1" t="str">
        <f>"18566769552"</f>
        <v>18566769552</v>
      </c>
    </row>
    <row r="2343" spans="1:1">
      <c r="A2343" s="1" t="str">
        <f>"18155891875"</f>
        <v>18155891875</v>
      </c>
    </row>
    <row r="2344" spans="1:1">
      <c r="A2344" s="1" t="str">
        <f>"18612766070"</f>
        <v>18612766070</v>
      </c>
    </row>
    <row r="2345" spans="1:1">
      <c r="A2345" s="1" t="str">
        <f>"15030673812"</f>
        <v>15030673812</v>
      </c>
    </row>
    <row r="2346" spans="1:1">
      <c r="A2346" s="1" t="str">
        <f>"13613367662"</f>
        <v>13613367662</v>
      </c>
    </row>
    <row r="2347" spans="1:1">
      <c r="A2347" s="1" t="str">
        <f>"13131602728"</f>
        <v>13131602728</v>
      </c>
    </row>
    <row r="2348" spans="1:1">
      <c r="A2348" s="1" t="str">
        <f>"15933261313"</f>
        <v>15933261313</v>
      </c>
    </row>
    <row r="2349" spans="1:1">
      <c r="A2349" s="1" t="str">
        <f>"13752212490"</f>
        <v>13752212490</v>
      </c>
    </row>
    <row r="2350" spans="1:1">
      <c r="A2350" s="1" t="str">
        <f>"17526856798"</f>
        <v>17526856798</v>
      </c>
    </row>
    <row r="2351" spans="1:1">
      <c r="A2351" s="1" t="str">
        <f>"13920626979"</f>
        <v>13920626979</v>
      </c>
    </row>
    <row r="2352" spans="1:1">
      <c r="A2352" s="1" t="str">
        <f>"13141266877"</f>
        <v>13141266877</v>
      </c>
    </row>
    <row r="2353" spans="1:1">
      <c r="A2353" s="1" t="str">
        <f>"13121327250"</f>
        <v>13121327250</v>
      </c>
    </row>
    <row r="2354" spans="1:1">
      <c r="A2354" s="1" t="str">
        <f>"15100717336"</f>
        <v>15100717336</v>
      </c>
    </row>
    <row r="2355" spans="1:1">
      <c r="A2355" s="1" t="str">
        <f>"13682010440"</f>
        <v>13682010440</v>
      </c>
    </row>
    <row r="2356" spans="1:1">
      <c r="A2356" s="1" t="str">
        <f>"18911304036"</f>
        <v>18911304036</v>
      </c>
    </row>
    <row r="2357" spans="1:1">
      <c r="A2357" s="1" t="str">
        <f>"15501186623"</f>
        <v>15501186623</v>
      </c>
    </row>
    <row r="2358" spans="1:1">
      <c r="A2358" s="1" t="str">
        <f>"17602288387"</f>
        <v>17602288387</v>
      </c>
    </row>
    <row r="2359" spans="1:1">
      <c r="A2359" s="1" t="str">
        <f>"13230221035"</f>
        <v>13230221035</v>
      </c>
    </row>
    <row r="2360" spans="1:1">
      <c r="A2360" s="1" t="str">
        <f>"13466605409"</f>
        <v>13466605409</v>
      </c>
    </row>
    <row r="2361" spans="1:1">
      <c r="A2361" s="1" t="str">
        <f>"13931675646"</f>
        <v>13931675646</v>
      </c>
    </row>
    <row r="2362" spans="1:1">
      <c r="A2362" s="1" t="str">
        <f>"13102010035"</f>
        <v>13102010035</v>
      </c>
    </row>
    <row r="2363" spans="1:1">
      <c r="A2363" s="1" t="str">
        <f>"15342059866"</f>
        <v>15342059866</v>
      </c>
    </row>
    <row r="2364" spans="1:1">
      <c r="A2364" s="1" t="str">
        <f>"18911810010"</f>
        <v>18911810010</v>
      </c>
    </row>
    <row r="2365" spans="1:1">
      <c r="A2365" s="1" t="str">
        <f>"13020090781"</f>
        <v>13020090781</v>
      </c>
    </row>
    <row r="2366" spans="1:1">
      <c r="A2366" s="1" t="str">
        <f>"18831662106"</f>
        <v>18831662106</v>
      </c>
    </row>
    <row r="2367" spans="1:1">
      <c r="A2367" s="1" t="str">
        <f>"13522203614"</f>
        <v>13522203614</v>
      </c>
    </row>
    <row r="2368" spans="1:1">
      <c r="A2368" s="1" t="str">
        <f>"13722518909"</f>
        <v>13722518909</v>
      </c>
    </row>
    <row r="2369" spans="1:1">
      <c r="A2369" s="1" t="str">
        <f>"13722638355"</f>
        <v>13722638355</v>
      </c>
    </row>
    <row r="2370" spans="1:1">
      <c r="A2370" s="1" t="str">
        <f>"13301291986"</f>
        <v>13301291986</v>
      </c>
    </row>
    <row r="2371" spans="1:1">
      <c r="A2371" s="1" t="str">
        <f>"15003368028"</f>
        <v>15003368028</v>
      </c>
    </row>
    <row r="2372" spans="1:1">
      <c r="A2372" s="1" t="str">
        <f>"19931666581"</f>
        <v>19931666581</v>
      </c>
    </row>
    <row r="2373" spans="1:1">
      <c r="A2373" s="1" t="str">
        <f>"13930650569"</f>
        <v>13930650569</v>
      </c>
    </row>
    <row r="2374" spans="1:1">
      <c r="A2374" s="1" t="str">
        <f>"15055536287"</f>
        <v>15055536287</v>
      </c>
    </row>
    <row r="2375" spans="1:1">
      <c r="A2375" s="1" t="str">
        <f>"13501122642"</f>
        <v>13501122642</v>
      </c>
    </row>
    <row r="2376" spans="1:1">
      <c r="A2376" s="1" t="str">
        <f>"13803165410"</f>
        <v>13803165410</v>
      </c>
    </row>
    <row r="2377" spans="1:1">
      <c r="A2377" s="1" t="str">
        <f>"18600978887"</f>
        <v>18600978887</v>
      </c>
    </row>
    <row r="2378" spans="1:1">
      <c r="A2378" s="1" t="str">
        <f>"17600384989"</f>
        <v>17600384989</v>
      </c>
    </row>
    <row r="2379" spans="1:1">
      <c r="A2379" s="1" t="str">
        <f>"13426269663"</f>
        <v>13426269663</v>
      </c>
    </row>
    <row r="2380" spans="1:1">
      <c r="A2380" s="1" t="str">
        <f>"15505587883"</f>
        <v>15505587883</v>
      </c>
    </row>
    <row r="2381" spans="1:1">
      <c r="A2381" s="1" t="str">
        <f>"17355830725"</f>
        <v>17355830725</v>
      </c>
    </row>
    <row r="2382" spans="1:1">
      <c r="A2382" s="1" t="str">
        <f>"13956812299"</f>
        <v>13956812299</v>
      </c>
    </row>
    <row r="2383" spans="1:1">
      <c r="A2383" s="1" t="str">
        <f>"13302059150"</f>
        <v>13302059150</v>
      </c>
    </row>
    <row r="2384" spans="1:1">
      <c r="A2384" s="1" t="str">
        <f>"18514532528"</f>
        <v>18514532528</v>
      </c>
    </row>
    <row r="2385" spans="1:1">
      <c r="A2385" s="1" t="str">
        <f>"18712696568"</f>
        <v>18712696568</v>
      </c>
    </row>
    <row r="2386" spans="1:1">
      <c r="A2386" s="1" t="str">
        <f>"17319313443"</f>
        <v>17319313443</v>
      </c>
    </row>
    <row r="2387" spans="1:1">
      <c r="A2387" s="1" t="str">
        <f>"18532625153"</f>
        <v>18532625153</v>
      </c>
    </row>
    <row r="2388" spans="1:1">
      <c r="A2388" s="1" t="str">
        <f>"17710298081"</f>
        <v>17710298081</v>
      </c>
    </row>
    <row r="2389" spans="1:1">
      <c r="A2389" s="1" t="str">
        <f>"13075089500"</f>
        <v>13075089500</v>
      </c>
    </row>
    <row r="2390" spans="1:1">
      <c r="A2390" s="1" t="str">
        <f>"15724707191"</f>
        <v>15724707191</v>
      </c>
    </row>
    <row r="2391" spans="1:1">
      <c r="A2391" s="1" t="str">
        <f>"13393368685"</f>
        <v>13393368685</v>
      </c>
    </row>
    <row r="2392" spans="1:1">
      <c r="A2392" s="1" t="str">
        <f>"13855850098"</f>
        <v>13855850098</v>
      </c>
    </row>
    <row r="2393" spans="1:1">
      <c r="A2393" s="1" t="str">
        <f>"13954160071"</f>
        <v>13954160071</v>
      </c>
    </row>
    <row r="2394" spans="1:1">
      <c r="A2394" s="1" t="str">
        <f>"13831608302"</f>
        <v>13831608302</v>
      </c>
    </row>
    <row r="2395" spans="1:1">
      <c r="A2395" s="1" t="str">
        <f>"15127393540"</f>
        <v>15127393540</v>
      </c>
    </row>
    <row r="2396" spans="1:1">
      <c r="A2396" s="1" t="str">
        <f>"13821004740"</f>
        <v>13821004740</v>
      </c>
    </row>
    <row r="2397" spans="1:1">
      <c r="A2397" s="1" t="str">
        <f>"15101080917"</f>
        <v>15101080917</v>
      </c>
    </row>
    <row r="2398" spans="1:1">
      <c r="A2398" s="1" t="str">
        <f>"15055578287"</f>
        <v>15055578287</v>
      </c>
    </row>
    <row r="2399" spans="1:1">
      <c r="A2399" s="1" t="str">
        <f>"15830626340"</f>
        <v>15830626340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非车险保单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赵福来</cp:lastModifiedBy>
  <dcterms:created xsi:type="dcterms:W3CDTF">2006-09-16T00:00:00Z</dcterms:created>
  <dcterms:modified xsi:type="dcterms:W3CDTF">2023-07-03T03:01:00Z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BB2FA2758DE141F6902AEA4C78456B52_13</vt:lpwstr>
  </property>
  <property fmtid="{D5CDD505-2E9C-101B-9397-08002B2CF9AE}" pid="3" name="KSOProductBuildVer">
    <vt:lpwstr>2052-11.1.0.14309</vt:lpwstr>
  </property>
</Properties>
</file>